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74" sheetId="1" r:id="rId1"/>
  </sheets>
  <definedNames/>
  <calcPr fullCalcOnLoad="1"/>
</workbook>
</file>

<file path=xl/sharedStrings.xml><?xml version="1.0" encoding="utf-8"?>
<sst xmlns="http://schemas.openxmlformats.org/spreadsheetml/2006/main" count="363" uniqueCount="36">
  <si>
    <t>利辛县2022年中小学新任教师公开招聘拟聘用人员名单</t>
  </si>
  <si>
    <t>序号</t>
  </si>
  <si>
    <t>岗位代码</t>
  </si>
  <si>
    <t>岗位名称</t>
  </si>
  <si>
    <t>招聘单位</t>
  </si>
  <si>
    <t>姓名</t>
  </si>
  <si>
    <t>准考证号</t>
  </si>
  <si>
    <t>教育综合</t>
  </si>
  <si>
    <t>学科专业</t>
  </si>
  <si>
    <t>笔试成绩</t>
  </si>
  <si>
    <t>政策性加分</t>
  </si>
  <si>
    <t>加分后笔
试成绩</t>
  </si>
  <si>
    <t>面试成绩</t>
  </si>
  <si>
    <t>总成绩</t>
  </si>
  <si>
    <t>语文</t>
  </si>
  <si>
    <t>普通高中</t>
  </si>
  <si>
    <t>数学</t>
  </si>
  <si>
    <t>孙强强</t>
  </si>
  <si>
    <t>英语</t>
  </si>
  <si>
    <t>物理</t>
  </si>
  <si>
    <t>化学</t>
  </si>
  <si>
    <t>生物</t>
  </si>
  <si>
    <t>思想政治</t>
  </si>
  <si>
    <t>历史</t>
  </si>
  <si>
    <t>地理</t>
  </si>
  <si>
    <t>体育</t>
  </si>
  <si>
    <t>初级中学</t>
  </si>
  <si>
    <t>道德与法治</t>
  </si>
  <si>
    <t>信息技术</t>
  </si>
  <si>
    <t>音乐</t>
  </si>
  <si>
    <t>美术</t>
  </si>
  <si>
    <t>书法</t>
  </si>
  <si>
    <t>小学</t>
  </si>
  <si>
    <t>道德与法治（品德与社会）</t>
  </si>
  <si>
    <t>心理健康教育</t>
  </si>
  <si>
    <t>特殊教育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</si>
</sst>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76"/>
  <sheetViews>
    <sheetView tabSelected="1" workbookViewId="0" topLeftCell="A17">
      <selection activeCell="P160" sqref="P160"/>
    </sheetView>
  </sheetViews>
  <sheetFormatPr defaultColWidth="9.00390625" defaultRowHeight="14.25"/>
  <cols>
    <col min="1" max="1" width="4.50390625" style="2" customWidth="1"/>
    <col min="2" max="2" width="11.125" style="2" customWidth="1"/>
    <col min="3" max="3" width="16.125" style="2" customWidth="1"/>
    <col min="4" max="4" width="8.75390625" style="2" customWidth="1"/>
    <col min="5" max="5" width="7.625" style="2" customWidth="1"/>
    <col min="6" max="6" width="12.375" style="2" customWidth="1"/>
    <col min="7" max="9" width="9.00390625" style="2" customWidth="1"/>
    <col min="10" max="10" width="5.375" style="3" customWidth="1"/>
    <col min="11" max="11" width="9.00390625" style="2" customWidth="1"/>
    <col min="12" max="12" width="10.00390625" style="2" customWidth="1"/>
    <col min="13" max="16384" width="9.00390625" style="2" customWidth="1"/>
  </cols>
  <sheetData>
    <row r="1" spans="1:13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3" t="s">
        <v>11</v>
      </c>
      <c r="L2" s="14" t="s">
        <v>12</v>
      </c>
      <c r="M2" s="14" t="s">
        <v>13</v>
      </c>
    </row>
    <row r="3" spans="1:13" ht="13.5" customHeight="1">
      <c r="A3" s="5">
        <v>1</v>
      </c>
      <c r="B3" s="7" t="str">
        <f>"20220101"</f>
        <v>20220101</v>
      </c>
      <c r="C3" s="7" t="s">
        <v>14</v>
      </c>
      <c r="D3" s="7" t="s">
        <v>15</v>
      </c>
      <c r="E3" s="7" t="str">
        <f>"李雪娇"</f>
        <v>李雪娇</v>
      </c>
      <c r="F3" s="7" t="str">
        <f>"20228022508"</f>
        <v>20228022508</v>
      </c>
      <c r="G3" s="8">
        <v>89.24</v>
      </c>
      <c r="H3" s="8">
        <v>98.1</v>
      </c>
      <c r="I3" s="8">
        <v>94.56</v>
      </c>
      <c r="J3" s="8"/>
      <c r="K3" s="15">
        <f aca="true" t="shared" si="0" ref="K3:K66">I3+J3</f>
        <v>94.56</v>
      </c>
      <c r="L3" s="16">
        <v>85</v>
      </c>
      <c r="M3" s="16">
        <f aca="true" t="shared" si="1" ref="M3:M66">K3/1.2*0.6+L3*0.4</f>
        <v>81.28</v>
      </c>
    </row>
    <row r="4" spans="1:13" ht="13.5" customHeight="1">
      <c r="A4" s="5">
        <v>2</v>
      </c>
      <c r="B4" s="9" t="str">
        <f>"20220101"</f>
        <v>20220101</v>
      </c>
      <c r="C4" s="9" t="s">
        <v>14</v>
      </c>
      <c r="D4" s="9" t="s">
        <v>15</v>
      </c>
      <c r="E4" s="9" t="str">
        <f>"邵荣家"</f>
        <v>邵荣家</v>
      </c>
      <c r="F4" s="9" t="str">
        <f>"20228022525"</f>
        <v>20228022525</v>
      </c>
      <c r="G4" s="10">
        <v>97.83</v>
      </c>
      <c r="H4" s="10">
        <v>95.6</v>
      </c>
      <c r="I4" s="10">
        <v>96.49</v>
      </c>
      <c r="J4" s="10"/>
      <c r="K4" s="16">
        <f t="shared" si="0"/>
        <v>96.49</v>
      </c>
      <c r="L4" s="16">
        <v>82.24</v>
      </c>
      <c r="M4" s="16">
        <f t="shared" si="1"/>
        <v>81.14099999999999</v>
      </c>
    </row>
    <row r="5" spans="1:13" ht="13.5" customHeight="1">
      <c r="A5" s="5">
        <v>3</v>
      </c>
      <c r="B5" s="9" t="str">
        <f>"20220102"</f>
        <v>20220102</v>
      </c>
      <c r="C5" s="9" t="s">
        <v>16</v>
      </c>
      <c r="D5" s="9" t="s">
        <v>15</v>
      </c>
      <c r="E5" s="9" t="str">
        <f>"谭云杰"</f>
        <v>谭云杰</v>
      </c>
      <c r="F5" s="9" t="str">
        <f>"20228023328"</f>
        <v>20228023328</v>
      </c>
      <c r="G5" s="10">
        <v>94.56</v>
      </c>
      <c r="H5" s="10">
        <v>89.8</v>
      </c>
      <c r="I5" s="10">
        <v>91.7</v>
      </c>
      <c r="J5" s="10"/>
      <c r="K5" s="16">
        <f t="shared" si="0"/>
        <v>91.7</v>
      </c>
      <c r="L5" s="16">
        <v>79.76</v>
      </c>
      <c r="M5" s="16">
        <f t="shared" si="1"/>
        <v>77.754</v>
      </c>
    </row>
    <row r="6" spans="1:13" ht="13.5" customHeight="1">
      <c r="A6" s="5">
        <v>4</v>
      </c>
      <c r="B6" s="9" t="str">
        <f>"20220102"</f>
        <v>20220102</v>
      </c>
      <c r="C6" s="9" t="s">
        <v>16</v>
      </c>
      <c r="D6" s="9" t="s">
        <v>15</v>
      </c>
      <c r="E6" s="9" t="str">
        <f>"刘鹏鹏"</f>
        <v>刘鹏鹏</v>
      </c>
      <c r="F6" s="9" t="str">
        <f>"20228023601"</f>
        <v>20228023601</v>
      </c>
      <c r="G6" s="10">
        <v>87.76</v>
      </c>
      <c r="H6" s="10">
        <v>94.1</v>
      </c>
      <c r="I6" s="10">
        <v>91.56</v>
      </c>
      <c r="J6" s="10"/>
      <c r="K6" s="16">
        <f t="shared" si="0"/>
        <v>91.56</v>
      </c>
      <c r="L6" s="16">
        <v>78</v>
      </c>
      <c r="M6" s="16">
        <f t="shared" si="1"/>
        <v>76.98000000000002</v>
      </c>
    </row>
    <row r="7" spans="1:13" ht="13.5" customHeight="1">
      <c r="A7" s="5">
        <v>5</v>
      </c>
      <c r="B7" s="9" t="str">
        <f>"20220102"</f>
        <v>20220102</v>
      </c>
      <c r="C7" s="9" t="s">
        <v>16</v>
      </c>
      <c r="D7" s="9" t="s">
        <v>15</v>
      </c>
      <c r="E7" s="9" t="str">
        <f>"孔圆圆"</f>
        <v>孔圆圆</v>
      </c>
      <c r="F7" s="9" t="str">
        <f>"20228023403"</f>
        <v>20228023403</v>
      </c>
      <c r="G7" s="10">
        <v>87.46</v>
      </c>
      <c r="H7" s="10">
        <v>88</v>
      </c>
      <c r="I7" s="10">
        <v>87.78</v>
      </c>
      <c r="J7" s="10"/>
      <c r="K7" s="16">
        <f t="shared" si="0"/>
        <v>87.78</v>
      </c>
      <c r="L7" s="16">
        <v>81.36</v>
      </c>
      <c r="M7" s="16">
        <f t="shared" si="1"/>
        <v>76.434</v>
      </c>
    </row>
    <row r="8" spans="1:13" s="1" customFormat="1" ht="13.5" customHeight="1">
      <c r="A8" s="5">
        <v>6</v>
      </c>
      <c r="B8" s="9" t="str">
        <f>"20220102"</f>
        <v>20220102</v>
      </c>
      <c r="C8" s="9" t="s">
        <v>16</v>
      </c>
      <c r="D8" s="9" t="s">
        <v>15</v>
      </c>
      <c r="E8" s="9" t="str">
        <f>"桑培培"</f>
        <v>桑培培</v>
      </c>
      <c r="F8" s="9" t="str">
        <f>"20228023422"</f>
        <v>20228023422</v>
      </c>
      <c r="G8" s="10">
        <v>92.19</v>
      </c>
      <c r="H8" s="10">
        <v>84.1</v>
      </c>
      <c r="I8" s="10">
        <v>87.34</v>
      </c>
      <c r="J8" s="10"/>
      <c r="K8" s="16">
        <f t="shared" si="0"/>
        <v>87.34</v>
      </c>
      <c r="L8" s="16">
        <v>81.58</v>
      </c>
      <c r="M8" s="16">
        <f t="shared" si="1"/>
        <v>76.302</v>
      </c>
    </row>
    <row r="9" spans="1:13" ht="13.5" customHeight="1">
      <c r="A9" s="5">
        <v>7</v>
      </c>
      <c r="B9" s="9" t="str">
        <f>"20220102"</f>
        <v>20220102</v>
      </c>
      <c r="C9" s="9" t="s">
        <v>16</v>
      </c>
      <c r="D9" s="9" t="s">
        <v>15</v>
      </c>
      <c r="E9" s="9" t="str">
        <f>"杨麒"</f>
        <v>杨麒</v>
      </c>
      <c r="F9" s="9" t="str">
        <f>"20228023501"</f>
        <v>20228023501</v>
      </c>
      <c r="G9" s="10">
        <v>74.02</v>
      </c>
      <c r="H9" s="10">
        <v>97.7</v>
      </c>
      <c r="I9" s="10">
        <v>88.23</v>
      </c>
      <c r="J9" s="10"/>
      <c r="K9" s="16">
        <f aca="true" t="shared" si="2" ref="K9:K11">I9+J9</f>
        <v>88.23</v>
      </c>
      <c r="L9" s="16">
        <v>78.78</v>
      </c>
      <c r="M9" s="16">
        <f>K9/1.2*0.6+L9*0.4</f>
        <v>75.62700000000001</v>
      </c>
    </row>
    <row r="10" spans="1:13" ht="13.5" customHeight="1">
      <c r="A10" s="5">
        <v>8</v>
      </c>
      <c r="B10" s="9" t="str">
        <f>"20220102"</f>
        <v>20220102</v>
      </c>
      <c r="C10" s="9" t="s">
        <v>16</v>
      </c>
      <c r="D10" s="9" t="s">
        <v>15</v>
      </c>
      <c r="E10" s="9" t="str">
        <f>"任倩"</f>
        <v>任倩</v>
      </c>
      <c r="F10" s="9" t="str">
        <f>"20228023410"</f>
        <v>20228023410</v>
      </c>
      <c r="G10" s="10">
        <v>84.93</v>
      </c>
      <c r="H10" s="10">
        <v>87.8</v>
      </c>
      <c r="I10" s="10">
        <v>86.65</v>
      </c>
      <c r="J10" s="10"/>
      <c r="K10" s="16">
        <f t="shared" si="2"/>
        <v>86.65</v>
      </c>
      <c r="L10" s="16">
        <v>80.28</v>
      </c>
      <c r="M10" s="16">
        <f>K10/1.2*0.6+L10*0.4</f>
        <v>75.43700000000001</v>
      </c>
    </row>
    <row r="11" spans="1:13" ht="13.5" customHeight="1">
      <c r="A11" s="5">
        <v>9</v>
      </c>
      <c r="B11" s="9" t="str">
        <f>"20220102"</f>
        <v>20220102</v>
      </c>
      <c r="C11" s="9" t="s">
        <v>16</v>
      </c>
      <c r="D11" s="9" t="s">
        <v>15</v>
      </c>
      <c r="E11" s="9" t="s">
        <v>17</v>
      </c>
      <c r="F11" s="11" t="str">
        <f>"20228023423"</f>
        <v>20228023423</v>
      </c>
      <c r="G11" s="12">
        <v>78.57</v>
      </c>
      <c r="H11" s="12">
        <v>91.2</v>
      </c>
      <c r="I11" s="12">
        <v>86.15</v>
      </c>
      <c r="J11" s="12"/>
      <c r="K11" s="17">
        <f t="shared" si="2"/>
        <v>86.15</v>
      </c>
      <c r="L11" s="17">
        <v>80.46</v>
      </c>
      <c r="M11" s="17">
        <f>K11/1.2*0.6+L11*0.4</f>
        <v>75.259</v>
      </c>
    </row>
    <row r="12" spans="1:13" ht="13.5" customHeight="1">
      <c r="A12" s="5">
        <v>10</v>
      </c>
      <c r="B12" s="9" t="str">
        <f aca="true" t="shared" si="3" ref="B12:B19">"20220103"</f>
        <v>20220103</v>
      </c>
      <c r="C12" s="9" t="s">
        <v>18</v>
      </c>
      <c r="D12" s="9" t="s">
        <v>15</v>
      </c>
      <c r="E12" s="9" t="str">
        <f>"饶晨曦"</f>
        <v>饶晨曦</v>
      </c>
      <c r="F12" s="9" t="str">
        <f>"20228024308"</f>
        <v>20228024308</v>
      </c>
      <c r="G12" s="10">
        <v>97.98</v>
      </c>
      <c r="H12" s="10">
        <v>109.6</v>
      </c>
      <c r="I12" s="10">
        <v>104.95</v>
      </c>
      <c r="J12" s="10"/>
      <c r="K12" s="16">
        <f t="shared" si="0"/>
        <v>104.95</v>
      </c>
      <c r="L12" s="16">
        <v>83.04</v>
      </c>
      <c r="M12" s="16">
        <f t="shared" si="1"/>
        <v>85.691</v>
      </c>
    </row>
    <row r="13" spans="1:13" ht="13.5" customHeight="1">
      <c r="A13" s="5">
        <v>11</v>
      </c>
      <c r="B13" s="9" t="str">
        <f t="shared" si="3"/>
        <v>20220103</v>
      </c>
      <c r="C13" s="9" t="s">
        <v>18</v>
      </c>
      <c r="D13" s="9" t="s">
        <v>15</v>
      </c>
      <c r="E13" s="9" t="str">
        <f>"王奇"</f>
        <v>王奇</v>
      </c>
      <c r="F13" s="9" t="str">
        <f>"20228024501"</f>
        <v>20228024501</v>
      </c>
      <c r="G13" s="10">
        <v>98.98</v>
      </c>
      <c r="H13" s="10">
        <v>108.7</v>
      </c>
      <c r="I13" s="10">
        <v>104.81</v>
      </c>
      <c r="J13" s="10"/>
      <c r="K13" s="16">
        <f t="shared" si="0"/>
        <v>104.81</v>
      </c>
      <c r="L13" s="16">
        <v>82.18</v>
      </c>
      <c r="M13" s="16">
        <f t="shared" si="1"/>
        <v>85.27700000000002</v>
      </c>
    </row>
    <row r="14" spans="1:13" ht="13.5" customHeight="1">
      <c r="A14" s="5">
        <v>12</v>
      </c>
      <c r="B14" s="9" t="str">
        <f t="shared" si="3"/>
        <v>20220103</v>
      </c>
      <c r="C14" s="9" t="s">
        <v>18</v>
      </c>
      <c r="D14" s="9" t="s">
        <v>15</v>
      </c>
      <c r="E14" s="9" t="str">
        <f>"吴兰"</f>
        <v>吴兰</v>
      </c>
      <c r="F14" s="9" t="str">
        <f>"20228024513"</f>
        <v>20228024513</v>
      </c>
      <c r="G14" s="10">
        <v>100.02</v>
      </c>
      <c r="H14" s="10">
        <v>106</v>
      </c>
      <c r="I14" s="10">
        <v>103.61</v>
      </c>
      <c r="J14" s="10"/>
      <c r="K14" s="16">
        <f t="shared" si="0"/>
        <v>103.61</v>
      </c>
      <c r="L14" s="16">
        <v>81.72</v>
      </c>
      <c r="M14" s="16">
        <f t="shared" si="1"/>
        <v>84.493</v>
      </c>
    </row>
    <row r="15" spans="1:13" ht="13.5" customHeight="1">
      <c r="A15" s="5">
        <v>13</v>
      </c>
      <c r="B15" s="9" t="str">
        <f t="shared" si="3"/>
        <v>20220103</v>
      </c>
      <c r="C15" s="9" t="s">
        <v>18</v>
      </c>
      <c r="D15" s="9" t="s">
        <v>15</v>
      </c>
      <c r="E15" s="9" t="str">
        <f>"徐晶晶"</f>
        <v>徐晶晶</v>
      </c>
      <c r="F15" s="9" t="str">
        <f>"20228024201"</f>
        <v>20228024201</v>
      </c>
      <c r="G15" s="10">
        <v>92.84</v>
      </c>
      <c r="H15" s="10">
        <v>108.1</v>
      </c>
      <c r="I15" s="10">
        <v>102</v>
      </c>
      <c r="J15" s="10"/>
      <c r="K15" s="16">
        <f t="shared" si="0"/>
        <v>102</v>
      </c>
      <c r="L15" s="16">
        <v>83.22</v>
      </c>
      <c r="M15" s="16">
        <f t="shared" si="1"/>
        <v>84.28800000000001</v>
      </c>
    </row>
    <row r="16" spans="1:13" ht="13.5" customHeight="1">
      <c r="A16" s="5">
        <v>14</v>
      </c>
      <c r="B16" s="9" t="str">
        <f t="shared" si="3"/>
        <v>20220103</v>
      </c>
      <c r="C16" s="9" t="s">
        <v>18</v>
      </c>
      <c r="D16" s="9" t="s">
        <v>15</v>
      </c>
      <c r="E16" s="9" t="str">
        <f>"杨娜"</f>
        <v>杨娜</v>
      </c>
      <c r="F16" s="9" t="str">
        <f>"20228024328"</f>
        <v>20228024328</v>
      </c>
      <c r="G16" s="10">
        <v>97.38</v>
      </c>
      <c r="H16" s="10">
        <v>105.6</v>
      </c>
      <c r="I16" s="10">
        <v>102.31</v>
      </c>
      <c r="J16" s="10"/>
      <c r="K16" s="16">
        <f t="shared" si="0"/>
        <v>102.31</v>
      </c>
      <c r="L16" s="16">
        <v>81.18</v>
      </c>
      <c r="M16" s="16">
        <f t="shared" si="1"/>
        <v>83.62700000000001</v>
      </c>
    </row>
    <row r="17" spans="1:13" ht="13.5" customHeight="1">
      <c r="A17" s="5">
        <v>15</v>
      </c>
      <c r="B17" s="9" t="str">
        <f t="shared" si="3"/>
        <v>20220103</v>
      </c>
      <c r="C17" s="9" t="s">
        <v>18</v>
      </c>
      <c r="D17" s="9" t="s">
        <v>15</v>
      </c>
      <c r="E17" s="9" t="str">
        <f>"王丽"</f>
        <v>王丽</v>
      </c>
      <c r="F17" s="9" t="str">
        <f>"20228024120"</f>
        <v>20228024120</v>
      </c>
      <c r="G17" s="10">
        <v>93.27</v>
      </c>
      <c r="H17" s="10">
        <v>105.6</v>
      </c>
      <c r="I17" s="10">
        <v>100.67</v>
      </c>
      <c r="J17" s="10"/>
      <c r="K17" s="16">
        <f t="shared" si="0"/>
        <v>100.67</v>
      </c>
      <c r="L17" s="16">
        <v>81</v>
      </c>
      <c r="M17" s="16">
        <f t="shared" si="1"/>
        <v>82.735</v>
      </c>
    </row>
    <row r="18" spans="1:13" ht="13.5" customHeight="1">
      <c r="A18" s="5">
        <v>16</v>
      </c>
      <c r="B18" s="9" t="str">
        <f t="shared" si="3"/>
        <v>20220103</v>
      </c>
      <c r="C18" s="9" t="s">
        <v>18</v>
      </c>
      <c r="D18" s="9" t="s">
        <v>15</v>
      </c>
      <c r="E18" s="9" t="str">
        <f>"相丽丽"</f>
        <v>相丽丽</v>
      </c>
      <c r="F18" s="9" t="str">
        <f>"20228024202"</f>
        <v>20228024202</v>
      </c>
      <c r="G18" s="10">
        <v>94.71</v>
      </c>
      <c r="H18" s="10">
        <v>103.6</v>
      </c>
      <c r="I18" s="10">
        <v>100.04</v>
      </c>
      <c r="J18" s="10"/>
      <c r="K18" s="16">
        <f t="shared" si="0"/>
        <v>100.04</v>
      </c>
      <c r="L18" s="16">
        <v>81.06</v>
      </c>
      <c r="M18" s="16">
        <f t="shared" si="1"/>
        <v>82.444</v>
      </c>
    </row>
    <row r="19" spans="1:13" ht="13.5" customHeight="1">
      <c r="A19" s="5">
        <v>17</v>
      </c>
      <c r="B19" s="9" t="str">
        <f t="shared" si="3"/>
        <v>20220103</v>
      </c>
      <c r="C19" s="9" t="s">
        <v>18</v>
      </c>
      <c r="D19" s="9" t="s">
        <v>15</v>
      </c>
      <c r="E19" s="9" t="str">
        <f>"焦婉丽"</f>
        <v>焦婉丽</v>
      </c>
      <c r="F19" s="9" t="str">
        <f>"20228024505"</f>
        <v>20228024505</v>
      </c>
      <c r="G19" s="10">
        <v>93.93</v>
      </c>
      <c r="H19" s="10">
        <v>103.9</v>
      </c>
      <c r="I19" s="10">
        <v>99.91</v>
      </c>
      <c r="J19" s="10"/>
      <c r="K19" s="16">
        <f t="shared" si="0"/>
        <v>99.91</v>
      </c>
      <c r="L19" s="16">
        <v>80.36</v>
      </c>
      <c r="M19" s="16">
        <f t="shared" si="1"/>
        <v>82.099</v>
      </c>
    </row>
    <row r="20" spans="1:13" ht="13.5" customHeight="1">
      <c r="A20" s="5">
        <v>18</v>
      </c>
      <c r="B20" s="9" t="str">
        <f aca="true" t="shared" si="4" ref="B20:B23">"20220104"</f>
        <v>20220104</v>
      </c>
      <c r="C20" s="9" t="s">
        <v>19</v>
      </c>
      <c r="D20" s="9" t="s">
        <v>15</v>
      </c>
      <c r="E20" s="9" t="str">
        <f>"王迷迷"</f>
        <v>王迷迷</v>
      </c>
      <c r="F20" s="9" t="str">
        <f>"20228025603"</f>
        <v>20228025603</v>
      </c>
      <c r="G20" s="10">
        <v>64.08</v>
      </c>
      <c r="H20" s="10">
        <v>84.8</v>
      </c>
      <c r="I20" s="10">
        <v>76.51</v>
      </c>
      <c r="J20" s="10"/>
      <c r="K20" s="16">
        <f t="shared" si="0"/>
        <v>76.51</v>
      </c>
      <c r="L20" s="16">
        <v>84.34</v>
      </c>
      <c r="M20" s="16">
        <f t="shared" si="1"/>
        <v>71.99100000000001</v>
      </c>
    </row>
    <row r="21" spans="1:13" s="1" customFormat="1" ht="13.5" customHeight="1">
      <c r="A21" s="5">
        <v>19</v>
      </c>
      <c r="B21" s="9" t="str">
        <f t="shared" si="4"/>
        <v>20220104</v>
      </c>
      <c r="C21" s="9" t="s">
        <v>19</v>
      </c>
      <c r="D21" s="9" t="s">
        <v>15</v>
      </c>
      <c r="E21" s="9" t="str">
        <f>"张雨斌"</f>
        <v>张雨斌</v>
      </c>
      <c r="F21" s="9" t="str">
        <f>"20228025609"</f>
        <v>20228025609</v>
      </c>
      <c r="G21" s="10">
        <v>70.98</v>
      </c>
      <c r="H21" s="10">
        <v>68.9</v>
      </c>
      <c r="I21" s="10">
        <v>69.73</v>
      </c>
      <c r="J21" s="10"/>
      <c r="K21" s="16">
        <f t="shared" si="0"/>
        <v>69.73</v>
      </c>
      <c r="L21" s="16">
        <v>84.38</v>
      </c>
      <c r="M21" s="16">
        <f t="shared" si="1"/>
        <v>68.617</v>
      </c>
    </row>
    <row r="22" spans="1:13" ht="13.5" customHeight="1">
      <c r="A22" s="5">
        <v>20</v>
      </c>
      <c r="B22" s="9" t="str">
        <f t="shared" si="4"/>
        <v>20220104</v>
      </c>
      <c r="C22" s="9" t="s">
        <v>19</v>
      </c>
      <c r="D22" s="9" t="s">
        <v>15</v>
      </c>
      <c r="E22" s="9" t="str">
        <f>"李志豪"</f>
        <v>李志豪</v>
      </c>
      <c r="F22" s="9" t="str">
        <f>"20228025613"</f>
        <v>20228025613</v>
      </c>
      <c r="G22" s="10">
        <v>70.88</v>
      </c>
      <c r="H22" s="10">
        <v>68.5</v>
      </c>
      <c r="I22" s="10">
        <v>69.45</v>
      </c>
      <c r="J22" s="10"/>
      <c r="K22" s="16">
        <f t="shared" si="0"/>
        <v>69.45</v>
      </c>
      <c r="L22" s="16">
        <v>84.72</v>
      </c>
      <c r="M22" s="16">
        <f t="shared" si="1"/>
        <v>68.613</v>
      </c>
    </row>
    <row r="23" spans="1:13" ht="13.5" customHeight="1">
      <c r="A23" s="5">
        <v>21</v>
      </c>
      <c r="B23" s="9" t="str">
        <f t="shared" si="4"/>
        <v>20220104</v>
      </c>
      <c r="C23" s="9" t="s">
        <v>19</v>
      </c>
      <c r="D23" s="9" t="s">
        <v>15</v>
      </c>
      <c r="E23" s="9" t="str">
        <f>"张玉"</f>
        <v>张玉</v>
      </c>
      <c r="F23" s="9" t="str">
        <f>"20228025610"</f>
        <v>20228025610</v>
      </c>
      <c r="G23" s="10">
        <v>71.25</v>
      </c>
      <c r="H23" s="10">
        <v>62.9</v>
      </c>
      <c r="I23" s="10">
        <v>66.24</v>
      </c>
      <c r="J23" s="10"/>
      <c r="K23" s="16">
        <f t="shared" si="0"/>
        <v>66.24</v>
      </c>
      <c r="L23" s="16">
        <v>84.32</v>
      </c>
      <c r="M23" s="16">
        <f t="shared" si="1"/>
        <v>66.848</v>
      </c>
    </row>
    <row r="24" spans="1:13" s="1" customFormat="1" ht="13.5" customHeight="1">
      <c r="A24" s="5">
        <v>22</v>
      </c>
      <c r="B24" s="9" t="str">
        <f aca="true" t="shared" si="5" ref="B24:B28">"20220105"</f>
        <v>20220105</v>
      </c>
      <c r="C24" s="9" t="s">
        <v>20</v>
      </c>
      <c r="D24" s="9" t="s">
        <v>15</v>
      </c>
      <c r="E24" s="9" t="str">
        <f>"程新宁"</f>
        <v>程新宁</v>
      </c>
      <c r="F24" s="9" t="str">
        <f>"20228025828"</f>
        <v>20228025828</v>
      </c>
      <c r="G24" s="10">
        <v>98.88</v>
      </c>
      <c r="H24" s="10">
        <v>96.7</v>
      </c>
      <c r="I24" s="10">
        <v>97.57</v>
      </c>
      <c r="J24" s="10"/>
      <c r="K24" s="16">
        <f t="shared" si="0"/>
        <v>97.57</v>
      </c>
      <c r="L24" s="16">
        <v>84.42</v>
      </c>
      <c r="M24" s="16">
        <f t="shared" si="1"/>
        <v>82.553</v>
      </c>
    </row>
    <row r="25" spans="1:13" ht="13.5" customHeight="1">
      <c r="A25" s="5">
        <v>23</v>
      </c>
      <c r="B25" s="9" t="str">
        <f t="shared" si="5"/>
        <v>20220105</v>
      </c>
      <c r="C25" s="9" t="s">
        <v>20</v>
      </c>
      <c r="D25" s="9" t="s">
        <v>15</v>
      </c>
      <c r="E25" s="9" t="str">
        <f>"牛新平"</f>
        <v>牛新平</v>
      </c>
      <c r="F25" s="9" t="str">
        <f>"20228026030"</f>
        <v>20228026030</v>
      </c>
      <c r="G25" s="10">
        <v>93.28</v>
      </c>
      <c r="H25" s="10">
        <v>95.5</v>
      </c>
      <c r="I25" s="10">
        <v>94.61</v>
      </c>
      <c r="J25" s="10"/>
      <c r="K25" s="16">
        <f t="shared" si="0"/>
        <v>94.61</v>
      </c>
      <c r="L25" s="16">
        <v>86.58</v>
      </c>
      <c r="M25" s="16">
        <f t="shared" si="1"/>
        <v>81.937</v>
      </c>
    </row>
    <row r="26" spans="1:13" ht="13.5" customHeight="1">
      <c r="A26" s="5">
        <v>24</v>
      </c>
      <c r="B26" s="9" t="str">
        <f t="shared" si="5"/>
        <v>20220105</v>
      </c>
      <c r="C26" s="9" t="s">
        <v>20</v>
      </c>
      <c r="D26" s="9" t="s">
        <v>15</v>
      </c>
      <c r="E26" s="9" t="str">
        <f>"王晓艳"</f>
        <v>王晓艳</v>
      </c>
      <c r="F26" s="9" t="str">
        <f>"20228025820"</f>
        <v>20228025820</v>
      </c>
      <c r="G26" s="10">
        <v>85.57</v>
      </c>
      <c r="H26" s="10">
        <v>96.8</v>
      </c>
      <c r="I26" s="10">
        <v>92.31</v>
      </c>
      <c r="J26" s="10"/>
      <c r="K26" s="16">
        <f t="shared" si="0"/>
        <v>92.31</v>
      </c>
      <c r="L26" s="16">
        <v>87.68</v>
      </c>
      <c r="M26" s="16">
        <f t="shared" si="1"/>
        <v>81.227</v>
      </c>
    </row>
    <row r="27" spans="1:13" ht="13.5" customHeight="1">
      <c r="A27" s="5">
        <v>25</v>
      </c>
      <c r="B27" s="9" t="str">
        <f t="shared" si="5"/>
        <v>20220105</v>
      </c>
      <c r="C27" s="9" t="s">
        <v>20</v>
      </c>
      <c r="D27" s="9" t="s">
        <v>15</v>
      </c>
      <c r="E27" s="9" t="str">
        <f>"张晓萍"</f>
        <v>张晓萍</v>
      </c>
      <c r="F27" s="9" t="str">
        <f>"20228026007"</f>
        <v>20228026007</v>
      </c>
      <c r="G27" s="10">
        <v>96.55</v>
      </c>
      <c r="H27" s="10">
        <v>85</v>
      </c>
      <c r="I27" s="10">
        <v>89.62</v>
      </c>
      <c r="J27" s="10"/>
      <c r="K27" s="16">
        <f t="shared" si="0"/>
        <v>89.62</v>
      </c>
      <c r="L27" s="16">
        <v>89</v>
      </c>
      <c r="M27" s="16">
        <f t="shared" si="1"/>
        <v>80.41</v>
      </c>
    </row>
    <row r="28" spans="1:13" ht="13.5" customHeight="1">
      <c r="A28" s="5">
        <v>26</v>
      </c>
      <c r="B28" s="9" t="str">
        <f t="shared" si="5"/>
        <v>20220105</v>
      </c>
      <c r="C28" s="9" t="s">
        <v>20</v>
      </c>
      <c r="D28" s="9" t="s">
        <v>15</v>
      </c>
      <c r="E28" s="9" t="str">
        <f>"马瑞"</f>
        <v>马瑞</v>
      </c>
      <c r="F28" s="9" t="str">
        <f>"20228025714"</f>
        <v>20228025714</v>
      </c>
      <c r="G28" s="10">
        <v>92.08</v>
      </c>
      <c r="H28" s="10">
        <v>88.1</v>
      </c>
      <c r="I28" s="10">
        <v>89.69</v>
      </c>
      <c r="J28" s="10"/>
      <c r="K28" s="16">
        <f t="shared" si="0"/>
        <v>89.69</v>
      </c>
      <c r="L28" s="16">
        <v>87.54</v>
      </c>
      <c r="M28" s="16">
        <f t="shared" si="1"/>
        <v>79.86100000000002</v>
      </c>
    </row>
    <row r="29" spans="1:13" ht="13.5" customHeight="1">
      <c r="A29" s="5">
        <v>27</v>
      </c>
      <c r="B29" s="9" t="str">
        <f aca="true" t="shared" si="6" ref="B29:B34">"20220106"</f>
        <v>20220106</v>
      </c>
      <c r="C29" s="9" t="s">
        <v>21</v>
      </c>
      <c r="D29" s="9" t="s">
        <v>15</v>
      </c>
      <c r="E29" s="9" t="str">
        <f>"张卫星"</f>
        <v>张卫星</v>
      </c>
      <c r="F29" s="9" t="str">
        <f>"20228026403"</f>
        <v>20228026403</v>
      </c>
      <c r="G29" s="10">
        <v>92.55</v>
      </c>
      <c r="H29" s="10">
        <v>93.1</v>
      </c>
      <c r="I29" s="10">
        <v>92.88</v>
      </c>
      <c r="J29" s="10"/>
      <c r="K29" s="16">
        <f t="shared" si="0"/>
        <v>92.88</v>
      </c>
      <c r="L29" s="16">
        <v>84.6</v>
      </c>
      <c r="M29" s="16">
        <f t="shared" si="1"/>
        <v>80.28</v>
      </c>
    </row>
    <row r="30" spans="1:13" ht="13.5" customHeight="1">
      <c r="A30" s="5">
        <v>28</v>
      </c>
      <c r="B30" s="9" t="str">
        <f t="shared" si="6"/>
        <v>20220106</v>
      </c>
      <c r="C30" s="9" t="s">
        <v>21</v>
      </c>
      <c r="D30" s="9" t="s">
        <v>15</v>
      </c>
      <c r="E30" s="9" t="str">
        <f>"焦婷"</f>
        <v>焦婷</v>
      </c>
      <c r="F30" s="9" t="str">
        <f>"20228026329"</f>
        <v>20228026329</v>
      </c>
      <c r="G30" s="10">
        <v>91.2</v>
      </c>
      <c r="H30" s="10">
        <v>90.2</v>
      </c>
      <c r="I30" s="10">
        <v>90.6</v>
      </c>
      <c r="J30" s="10"/>
      <c r="K30" s="16">
        <f t="shared" si="0"/>
        <v>90.6</v>
      </c>
      <c r="L30" s="16">
        <v>87</v>
      </c>
      <c r="M30" s="16">
        <f t="shared" si="1"/>
        <v>80.1</v>
      </c>
    </row>
    <row r="31" spans="1:13" ht="13.5" customHeight="1">
      <c r="A31" s="5">
        <v>29</v>
      </c>
      <c r="B31" s="9" t="str">
        <f t="shared" si="6"/>
        <v>20220106</v>
      </c>
      <c r="C31" s="9" t="s">
        <v>21</v>
      </c>
      <c r="D31" s="9" t="s">
        <v>15</v>
      </c>
      <c r="E31" s="9" t="str">
        <f>"刘歌"</f>
        <v>刘歌</v>
      </c>
      <c r="F31" s="9" t="str">
        <f>"20228026326"</f>
        <v>20228026326</v>
      </c>
      <c r="G31" s="10">
        <v>94.06</v>
      </c>
      <c r="H31" s="10">
        <v>91.4</v>
      </c>
      <c r="I31" s="10">
        <v>92.46</v>
      </c>
      <c r="J31" s="10"/>
      <c r="K31" s="16">
        <f t="shared" si="0"/>
        <v>92.46</v>
      </c>
      <c r="L31" s="16">
        <v>81.8</v>
      </c>
      <c r="M31" s="16">
        <f t="shared" si="1"/>
        <v>78.94999999999999</v>
      </c>
    </row>
    <row r="32" spans="1:13" ht="13.5" customHeight="1">
      <c r="A32" s="5">
        <v>30</v>
      </c>
      <c r="B32" s="9" t="str">
        <f t="shared" si="6"/>
        <v>20220106</v>
      </c>
      <c r="C32" s="9" t="s">
        <v>21</v>
      </c>
      <c r="D32" s="9" t="s">
        <v>15</v>
      </c>
      <c r="E32" s="9" t="str">
        <f>"王梅"</f>
        <v>王梅</v>
      </c>
      <c r="F32" s="9" t="str">
        <f>"20228026319"</f>
        <v>20228026319</v>
      </c>
      <c r="G32" s="10">
        <v>94.09</v>
      </c>
      <c r="H32" s="10">
        <v>87.5</v>
      </c>
      <c r="I32" s="10">
        <v>90.14</v>
      </c>
      <c r="J32" s="10"/>
      <c r="K32" s="16">
        <f t="shared" si="0"/>
        <v>90.14</v>
      </c>
      <c r="L32" s="16">
        <v>84.6</v>
      </c>
      <c r="M32" s="16">
        <f t="shared" si="1"/>
        <v>78.91</v>
      </c>
    </row>
    <row r="33" spans="1:13" ht="13.5" customHeight="1">
      <c r="A33" s="5">
        <v>31</v>
      </c>
      <c r="B33" s="9" t="str">
        <f t="shared" si="6"/>
        <v>20220106</v>
      </c>
      <c r="C33" s="9" t="s">
        <v>21</v>
      </c>
      <c r="D33" s="9" t="s">
        <v>15</v>
      </c>
      <c r="E33" s="9" t="str">
        <f>"李倩"</f>
        <v>李倩</v>
      </c>
      <c r="F33" s="9" t="str">
        <f>"20228026330"</f>
        <v>20228026330</v>
      </c>
      <c r="G33" s="10">
        <v>83.15</v>
      </c>
      <c r="H33" s="10">
        <v>92.8</v>
      </c>
      <c r="I33" s="10">
        <v>88.94</v>
      </c>
      <c r="J33" s="10"/>
      <c r="K33" s="16">
        <f t="shared" si="0"/>
        <v>88.94</v>
      </c>
      <c r="L33" s="16">
        <v>83.6</v>
      </c>
      <c r="M33" s="16">
        <f t="shared" si="1"/>
        <v>77.91</v>
      </c>
    </row>
    <row r="34" spans="1:13" ht="13.5" customHeight="1">
      <c r="A34" s="5">
        <v>32</v>
      </c>
      <c r="B34" s="9" t="str">
        <f t="shared" si="6"/>
        <v>20220106</v>
      </c>
      <c r="C34" s="9" t="s">
        <v>21</v>
      </c>
      <c r="D34" s="9" t="s">
        <v>15</v>
      </c>
      <c r="E34" s="9" t="str">
        <f>"徐坤"</f>
        <v>徐坤</v>
      </c>
      <c r="F34" s="9" t="str">
        <f>"20228026416"</f>
        <v>20228026416</v>
      </c>
      <c r="G34" s="10">
        <v>84.74</v>
      </c>
      <c r="H34" s="10">
        <v>90.7</v>
      </c>
      <c r="I34" s="10">
        <v>88.32</v>
      </c>
      <c r="J34" s="10"/>
      <c r="K34" s="16">
        <f t="shared" si="0"/>
        <v>88.32</v>
      </c>
      <c r="L34" s="16">
        <v>82.8</v>
      </c>
      <c r="M34" s="16">
        <f t="shared" si="1"/>
        <v>77.28</v>
      </c>
    </row>
    <row r="35" spans="1:13" ht="13.5" customHeight="1">
      <c r="A35" s="5">
        <v>33</v>
      </c>
      <c r="B35" s="9" t="str">
        <f>"20220107"</f>
        <v>20220107</v>
      </c>
      <c r="C35" s="9" t="s">
        <v>22</v>
      </c>
      <c r="D35" s="9" t="s">
        <v>15</v>
      </c>
      <c r="E35" s="9" t="str">
        <f>"温海燕"</f>
        <v>温海燕</v>
      </c>
      <c r="F35" s="9" t="str">
        <f>"20228026517"</f>
        <v>20228026517</v>
      </c>
      <c r="G35" s="10">
        <v>89.34</v>
      </c>
      <c r="H35" s="10">
        <v>111</v>
      </c>
      <c r="I35" s="10">
        <v>102.34</v>
      </c>
      <c r="J35" s="10"/>
      <c r="K35" s="16">
        <f t="shared" si="0"/>
        <v>102.34</v>
      </c>
      <c r="L35" s="16">
        <v>82.6</v>
      </c>
      <c r="M35" s="16">
        <f t="shared" si="1"/>
        <v>84.21000000000001</v>
      </c>
    </row>
    <row r="36" spans="1:13" ht="13.5" customHeight="1">
      <c r="A36" s="5">
        <v>34</v>
      </c>
      <c r="B36" s="9" t="str">
        <f>"20220107"</f>
        <v>20220107</v>
      </c>
      <c r="C36" s="9" t="s">
        <v>22</v>
      </c>
      <c r="D36" s="9" t="s">
        <v>15</v>
      </c>
      <c r="E36" s="9" t="str">
        <f>"周涛"</f>
        <v>周涛</v>
      </c>
      <c r="F36" s="9" t="str">
        <f>"20228026516"</f>
        <v>20228026516</v>
      </c>
      <c r="G36" s="10">
        <v>82.35</v>
      </c>
      <c r="H36" s="10">
        <v>104.6</v>
      </c>
      <c r="I36" s="10">
        <v>95.7</v>
      </c>
      <c r="J36" s="10"/>
      <c r="K36" s="16">
        <f t="shared" si="0"/>
        <v>95.7</v>
      </c>
      <c r="L36" s="16">
        <v>86</v>
      </c>
      <c r="M36" s="16">
        <f t="shared" si="1"/>
        <v>82.25</v>
      </c>
    </row>
    <row r="37" spans="1:13" ht="13.5" customHeight="1">
      <c r="A37" s="5">
        <v>35</v>
      </c>
      <c r="B37" s="9" t="str">
        <f aca="true" t="shared" si="7" ref="B37:B42">"20220108"</f>
        <v>20220108</v>
      </c>
      <c r="C37" s="9" t="s">
        <v>23</v>
      </c>
      <c r="D37" s="9" t="s">
        <v>15</v>
      </c>
      <c r="E37" s="9" t="str">
        <f>"郭园"</f>
        <v>郭园</v>
      </c>
      <c r="F37" s="9" t="str">
        <f>"20228026608"</f>
        <v>20228026608</v>
      </c>
      <c r="G37" s="10">
        <v>92.59</v>
      </c>
      <c r="H37" s="10">
        <v>108</v>
      </c>
      <c r="I37" s="10">
        <v>101.84</v>
      </c>
      <c r="J37" s="10"/>
      <c r="K37" s="16">
        <f t="shared" si="0"/>
        <v>101.84</v>
      </c>
      <c r="L37" s="16">
        <v>85</v>
      </c>
      <c r="M37" s="16">
        <f t="shared" si="1"/>
        <v>84.92</v>
      </c>
    </row>
    <row r="38" spans="1:13" ht="13.5" customHeight="1">
      <c r="A38" s="5">
        <v>36</v>
      </c>
      <c r="B38" s="9" t="str">
        <f t="shared" si="7"/>
        <v>20220108</v>
      </c>
      <c r="C38" s="9" t="s">
        <v>23</v>
      </c>
      <c r="D38" s="9" t="s">
        <v>15</v>
      </c>
      <c r="E38" s="9" t="str">
        <f>"刘雪勤"</f>
        <v>刘雪勤</v>
      </c>
      <c r="F38" s="9" t="str">
        <f>"20228026609"</f>
        <v>20228026609</v>
      </c>
      <c r="G38" s="10">
        <v>97.25</v>
      </c>
      <c r="H38" s="10">
        <v>106.8</v>
      </c>
      <c r="I38" s="10">
        <v>102.98</v>
      </c>
      <c r="J38" s="10"/>
      <c r="K38" s="16">
        <f t="shared" si="0"/>
        <v>102.98</v>
      </c>
      <c r="L38" s="16">
        <v>83.2</v>
      </c>
      <c r="M38" s="16">
        <f t="shared" si="1"/>
        <v>84.77000000000001</v>
      </c>
    </row>
    <row r="39" spans="1:13" ht="13.5" customHeight="1">
      <c r="A39" s="5">
        <v>37</v>
      </c>
      <c r="B39" s="9" t="str">
        <f t="shared" si="7"/>
        <v>20220108</v>
      </c>
      <c r="C39" s="9" t="s">
        <v>23</v>
      </c>
      <c r="D39" s="9" t="s">
        <v>15</v>
      </c>
      <c r="E39" s="9" t="str">
        <f>"周双影"</f>
        <v>周双影</v>
      </c>
      <c r="F39" s="9" t="str">
        <f>"20228026627"</f>
        <v>20228026627</v>
      </c>
      <c r="G39" s="10">
        <v>86.94</v>
      </c>
      <c r="H39" s="10">
        <v>107.7</v>
      </c>
      <c r="I39" s="10">
        <v>99.4</v>
      </c>
      <c r="J39" s="10"/>
      <c r="K39" s="16">
        <f t="shared" si="0"/>
        <v>99.4</v>
      </c>
      <c r="L39" s="16">
        <v>86</v>
      </c>
      <c r="M39" s="16">
        <f t="shared" si="1"/>
        <v>84.1</v>
      </c>
    </row>
    <row r="40" spans="1:13" ht="13.5" customHeight="1">
      <c r="A40" s="5">
        <v>38</v>
      </c>
      <c r="B40" s="9" t="str">
        <f t="shared" si="7"/>
        <v>20220108</v>
      </c>
      <c r="C40" s="9" t="s">
        <v>23</v>
      </c>
      <c r="D40" s="9" t="s">
        <v>15</v>
      </c>
      <c r="E40" s="9" t="str">
        <f>"左兰兰"</f>
        <v>左兰兰</v>
      </c>
      <c r="F40" s="9" t="str">
        <f>"20228026605"</f>
        <v>20228026605</v>
      </c>
      <c r="G40" s="10">
        <v>101.5</v>
      </c>
      <c r="H40" s="10">
        <v>107.8</v>
      </c>
      <c r="I40" s="10">
        <v>105.28</v>
      </c>
      <c r="J40" s="10"/>
      <c r="K40" s="16">
        <f t="shared" si="0"/>
        <v>105.28</v>
      </c>
      <c r="L40" s="16">
        <v>78</v>
      </c>
      <c r="M40" s="16">
        <f t="shared" si="1"/>
        <v>83.84</v>
      </c>
    </row>
    <row r="41" spans="1:13" ht="13.5" customHeight="1">
      <c r="A41" s="5">
        <v>39</v>
      </c>
      <c r="B41" s="9" t="str">
        <f t="shared" si="7"/>
        <v>20220108</v>
      </c>
      <c r="C41" s="9" t="s">
        <v>23</v>
      </c>
      <c r="D41" s="9" t="s">
        <v>15</v>
      </c>
      <c r="E41" s="9" t="str">
        <f>"孙钰钰"</f>
        <v>孙钰钰</v>
      </c>
      <c r="F41" s="9" t="str">
        <f>"20228026603"</f>
        <v>20228026603</v>
      </c>
      <c r="G41" s="10">
        <v>99.93</v>
      </c>
      <c r="H41" s="10">
        <v>98.9</v>
      </c>
      <c r="I41" s="10">
        <v>99.31</v>
      </c>
      <c r="J41" s="10"/>
      <c r="K41" s="16">
        <f t="shared" si="0"/>
        <v>99.31</v>
      </c>
      <c r="L41" s="16">
        <v>82.4</v>
      </c>
      <c r="M41" s="16">
        <f t="shared" si="1"/>
        <v>82.61500000000001</v>
      </c>
    </row>
    <row r="42" spans="1:13" ht="13.5" customHeight="1">
      <c r="A42" s="5">
        <v>40</v>
      </c>
      <c r="B42" s="9" t="str">
        <f t="shared" si="7"/>
        <v>20220108</v>
      </c>
      <c r="C42" s="9" t="s">
        <v>23</v>
      </c>
      <c r="D42" s="9" t="s">
        <v>15</v>
      </c>
      <c r="E42" s="9" t="str">
        <f>"刘帅"</f>
        <v>刘帅</v>
      </c>
      <c r="F42" s="9" t="str">
        <f>"20228026623"</f>
        <v>20228026623</v>
      </c>
      <c r="G42" s="10">
        <v>76.69</v>
      </c>
      <c r="H42" s="10">
        <v>99.7</v>
      </c>
      <c r="I42" s="10">
        <v>90.5</v>
      </c>
      <c r="J42" s="10"/>
      <c r="K42" s="16">
        <f t="shared" si="0"/>
        <v>90.5</v>
      </c>
      <c r="L42" s="16">
        <v>78.4</v>
      </c>
      <c r="M42" s="16">
        <f t="shared" si="1"/>
        <v>76.61</v>
      </c>
    </row>
    <row r="43" spans="1:13" ht="13.5" customHeight="1">
      <c r="A43" s="5">
        <v>41</v>
      </c>
      <c r="B43" s="9" t="str">
        <f aca="true" t="shared" si="8" ref="B43:B46">"20220109"</f>
        <v>20220109</v>
      </c>
      <c r="C43" s="9" t="s">
        <v>24</v>
      </c>
      <c r="D43" s="9" t="s">
        <v>15</v>
      </c>
      <c r="E43" s="9" t="str">
        <f>"于玲"</f>
        <v>于玲</v>
      </c>
      <c r="F43" s="9" t="str">
        <f>"20228026209"</f>
        <v>20228026209</v>
      </c>
      <c r="G43" s="10">
        <v>81.85</v>
      </c>
      <c r="H43" s="10">
        <v>99.7</v>
      </c>
      <c r="I43" s="10">
        <v>92.56</v>
      </c>
      <c r="J43" s="10"/>
      <c r="K43" s="16">
        <f t="shared" si="0"/>
        <v>92.56</v>
      </c>
      <c r="L43" s="16">
        <v>83</v>
      </c>
      <c r="M43" s="16">
        <f t="shared" si="1"/>
        <v>79.48</v>
      </c>
    </row>
    <row r="44" spans="1:13" ht="13.5" customHeight="1">
      <c r="A44" s="5">
        <v>42</v>
      </c>
      <c r="B44" s="9" t="str">
        <f t="shared" si="8"/>
        <v>20220109</v>
      </c>
      <c r="C44" s="9" t="s">
        <v>24</v>
      </c>
      <c r="D44" s="9" t="s">
        <v>15</v>
      </c>
      <c r="E44" s="9" t="str">
        <f>"曾恒"</f>
        <v>曾恒</v>
      </c>
      <c r="F44" s="9" t="str">
        <f>"20228026212"</f>
        <v>20228026212</v>
      </c>
      <c r="G44" s="10">
        <v>87.03</v>
      </c>
      <c r="H44" s="10">
        <v>91.8</v>
      </c>
      <c r="I44" s="10">
        <v>89.89</v>
      </c>
      <c r="J44" s="10"/>
      <c r="K44" s="16">
        <f t="shared" si="0"/>
        <v>89.89</v>
      </c>
      <c r="L44" s="16">
        <v>84.2</v>
      </c>
      <c r="M44" s="16">
        <f t="shared" si="1"/>
        <v>78.625</v>
      </c>
    </row>
    <row r="45" spans="1:13" ht="13.5" customHeight="1">
      <c r="A45" s="5">
        <v>43</v>
      </c>
      <c r="B45" s="9" t="str">
        <f t="shared" si="8"/>
        <v>20220109</v>
      </c>
      <c r="C45" s="9" t="s">
        <v>24</v>
      </c>
      <c r="D45" s="9" t="s">
        <v>15</v>
      </c>
      <c r="E45" s="9" t="str">
        <f>"王倩"</f>
        <v>王倩</v>
      </c>
      <c r="F45" s="9" t="str">
        <f>"20228026203"</f>
        <v>20228026203</v>
      </c>
      <c r="G45" s="10">
        <v>86.17</v>
      </c>
      <c r="H45" s="10">
        <v>92.6</v>
      </c>
      <c r="I45" s="10">
        <v>90.03</v>
      </c>
      <c r="J45" s="10"/>
      <c r="K45" s="16">
        <f t="shared" si="0"/>
        <v>90.03</v>
      </c>
      <c r="L45" s="16">
        <v>83.6</v>
      </c>
      <c r="M45" s="16">
        <f t="shared" si="1"/>
        <v>78.455</v>
      </c>
    </row>
    <row r="46" spans="1:13" ht="13.5" customHeight="1">
      <c r="A46" s="5">
        <v>44</v>
      </c>
      <c r="B46" s="9" t="str">
        <f t="shared" si="8"/>
        <v>20220109</v>
      </c>
      <c r="C46" s="9" t="s">
        <v>24</v>
      </c>
      <c r="D46" s="9" t="s">
        <v>15</v>
      </c>
      <c r="E46" s="9" t="str">
        <f>"马婉君"</f>
        <v>马婉君</v>
      </c>
      <c r="F46" s="9" t="str">
        <f>"20228026210"</f>
        <v>20228026210</v>
      </c>
      <c r="G46" s="10">
        <v>82.75</v>
      </c>
      <c r="H46" s="10">
        <v>73.2</v>
      </c>
      <c r="I46" s="10">
        <v>77.02</v>
      </c>
      <c r="J46" s="10"/>
      <c r="K46" s="16">
        <f t="shared" si="0"/>
        <v>77.02</v>
      </c>
      <c r="L46" s="16">
        <v>79.8</v>
      </c>
      <c r="M46" s="16">
        <f t="shared" si="1"/>
        <v>70.43</v>
      </c>
    </row>
    <row r="47" spans="1:13" ht="13.5" customHeight="1">
      <c r="A47" s="5">
        <v>45</v>
      </c>
      <c r="B47" s="9" t="str">
        <f>"20220110"</f>
        <v>20220110</v>
      </c>
      <c r="C47" s="9" t="s">
        <v>25</v>
      </c>
      <c r="D47" s="9" t="s">
        <v>15</v>
      </c>
      <c r="E47" s="9" t="str">
        <f>"高超然"</f>
        <v>高超然</v>
      </c>
      <c r="F47" s="9" t="str">
        <f>"20228027318"</f>
        <v>20228027318</v>
      </c>
      <c r="G47" s="10">
        <v>75.44</v>
      </c>
      <c r="H47" s="10">
        <v>89</v>
      </c>
      <c r="I47" s="10">
        <v>83.58</v>
      </c>
      <c r="J47" s="10"/>
      <c r="K47" s="16">
        <f t="shared" si="0"/>
        <v>83.58</v>
      </c>
      <c r="L47" s="16">
        <v>85.4</v>
      </c>
      <c r="M47" s="16">
        <f t="shared" si="1"/>
        <v>75.95</v>
      </c>
    </row>
    <row r="48" spans="1:13" ht="13.5" customHeight="1">
      <c r="A48" s="5">
        <v>46</v>
      </c>
      <c r="B48" s="9" t="str">
        <f aca="true" t="shared" si="9" ref="B48:B58">"20220201"</f>
        <v>20220201</v>
      </c>
      <c r="C48" s="9" t="s">
        <v>14</v>
      </c>
      <c r="D48" s="9" t="s">
        <v>26</v>
      </c>
      <c r="E48" s="9" t="str">
        <f>"赵若男"</f>
        <v>赵若男</v>
      </c>
      <c r="F48" s="9" t="str">
        <f>"20228022718"</f>
        <v>20228022718</v>
      </c>
      <c r="G48" s="10">
        <v>87.19</v>
      </c>
      <c r="H48" s="10">
        <v>101.5</v>
      </c>
      <c r="I48" s="10">
        <v>95.78</v>
      </c>
      <c r="J48" s="10"/>
      <c r="K48" s="16">
        <f t="shared" si="0"/>
        <v>95.78</v>
      </c>
      <c r="L48" s="16">
        <v>84.66</v>
      </c>
      <c r="M48" s="16">
        <f t="shared" si="1"/>
        <v>81.754</v>
      </c>
    </row>
    <row r="49" spans="1:13" ht="13.5" customHeight="1">
      <c r="A49" s="5">
        <v>47</v>
      </c>
      <c r="B49" s="9" t="str">
        <f t="shared" si="9"/>
        <v>20220201</v>
      </c>
      <c r="C49" s="9" t="s">
        <v>14</v>
      </c>
      <c r="D49" s="9" t="s">
        <v>26</v>
      </c>
      <c r="E49" s="9" t="str">
        <f>"李佳丽"</f>
        <v>李佳丽</v>
      </c>
      <c r="F49" s="9" t="str">
        <f>"20228022614"</f>
        <v>20228022614</v>
      </c>
      <c r="G49" s="10">
        <v>87.25</v>
      </c>
      <c r="H49" s="10">
        <v>101.4</v>
      </c>
      <c r="I49" s="10">
        <v>95.74</v>
      </c>
      <c r="J49" s="10"/>
      <c r="K49" s="16">
        <f t="shared" si="0"/>
        <v>95.74</v>
      </c>
      <c r="L49" s="16">
        <v>84.68</v>
      </c>
      <c r="M49" s="16">
        <f t="shared" si="1"/>
        <v>81.742</v>
      </c>
    </row>
    <row r="50" spans="1:13" ht="13.5" customHeight="1">
      <c r="A50" s="5">
        <v>48</v>
      </c>
      <c r="B50" s="9" t="str">
        <f t="shared" si="9"/>
        <v>20220201</v>
      </c>
      <c r="C50" s="9" t="s">
        <v>14</v>
      </c>
      <c r="D50" s="9" t="s">
        <v>26</v>
      </c>
      <c r="E50" s="9" t="str">
        <f>"张雨晴"</f>
        <v>张雨晴</v>
      </c>
      <c r="F50" s="9" t="str">
        <f>"20228022719"</f>
        <v>20228022719</v>
      </c>
      <c r="G50" s="10">
        <v>99.67</v>
      </c>
      <c r="H50" s="10">
        <v>93.6</v>
      </c>
      <c r="I50" s="10">
        <v>96.03</v>
      </c>
      <c r="J50" s="10"/>
      <c r="K50" s="16">
        <f t="shared" si="0"/>
        <v>96.03</v>
      </c>
      <c r="L50" s="16">
        <v>84.24</v>
      </c>
      <c r="M50" s="16">
        <f t="shared" si="1"/>
        <v>81.711</v>
      </c>
    </row>
    <row r="51" spans="1:13" ht="13.5" customHeight="1">
      <c r="A51" s="5">
        <v>49</v>
      </c>
      <c r="B51" s="9" t="str">
        <f t="shared" si="9"/>
        <v>20220201</v>
      </c>
      <c r="C51" s="9" t="s">
        <v>14</v>
      </c>
      <c r="D51" s="9" t="s">
        <v>26</v>
      </c>
      <c r="E51" s="9" t="str">
        <f>"王席席"</f>
        <v>王席席</v>
      </c>
      <c r="F51" s="9" t="str">
        <f>"20228022909"</f>
        <v>20228022909</v>
      </c>
      <c r="G51" s="10">
        <v>94.37</v>
      </c>
      <c r="H51" s="10">
        <v>94.6</v>
      </c>
      <c r="I51" s="10">
        <v>94.51</v>
      </c>
      <c r="J51" s="10"/>
      <c r="K51" s="16">
        <f t="shared" si="0"/>
        <v>94.51</v>
      </c>
      <c r="L51" s="16">
        <v>84.92</v>
      </c>
      <c r="M51" s="16">
        <f t="shared" si="1"/>
        <v>81.22300000000001</v>
      </c>
    </row>
    <row r="52" spans="1:13" ht="13.5" customHeight="1">
      <c r="A52" s="5">
        <v>50</v>
      </c>
      <c r="B52" s="9" t="str">
        <f t="shared" si="9"/>
        <v>20220201</v>
      </c>
      <c r="C52" s="9" t="s">
        <v>14</v>
      </c>
      <c r="D52" s="9" t="s">
        <v>26</v>
      </c>
      <c r="E52" s="9" t="str">
        <f>"葛平"</f>
        <v>葛平</v>
      </c>
      <c r="F52" s="9" t="str">
        <f>"20228023203"</f>
        <v>20228023203</v>
      </c>
      <c r="G52" s="10">
        <v>91.35</v>
      </c>
      <c r="H52" s="10">
        <v>96.4</v>
      </c>
      <c r="I52" s="10">
        <v>94.38</v>
      </c>
      <c r="J52" s="10"/>
      <c r="K52" s="16">
        <f t="shared" si="0"/>
        <v>94.38</v>
      </c>
      <c r="L52" s="16">
        <v>84.8</v>
      </c>
      <c r="M52" s="16">
        <f t="shared" si="1"/>
        <v>81.11000000000001</v>
      </c>
    </row>
    <row r="53" spans="1:13" ht="13.5" customHeight="1">
      <c r="A53" s="5">
        <v>51</v>
      </c>
      <c r="B53" s="9" t="str">
        <f t="shared" si="9"/>
        <v>20220201</v>
      </c>
      <c r="C53" s="9" t="s">
        <v>14</v>
      </c>
      <c r="D53" s="9" t="s">
        <v>26</v>
      </c>
      <c r="E53" s="9" t="str">
        <f>"贾晨曦"</f>
        <v>贾晨曦</v>
      </c>
      <c r="F53" s="9" t="str">
        <f>"20228023127"</f>
        <v>20228023127</v>
      </c>
      <c r="G53" s="10">
        <v>93.48</v>
      </c>
      <c r="H53" s="10">
        <v>94.4</v>
      </c>
      <c r="I53" s="10">
        <v>94.03</v>
      </c>
      <c r="J53" s="10"/>
      <c r="K53" s="16">
        <f t="shared" si="0"/>
        <v>94.03</v>
      </c>
      <c r="L53" s="16">
        <v>85.22</v>
      </c>
      <c r="M53" s="16">
        <f t="shared" si="1"/>
        <v>81.10300000000001</v>
      </c>
    </row>
    <row r="54" spans="1:13" ht="13.5" customHeight="1">
      <c r="A54" s="5">
        <v>52</v>
      </c>
      <c r="B54" s="9" t="str">
        <f t="shared" si="9"/>
        <v>20220201</v>
      </c>
      <c r="C54" s="9" t="s">
        <v>14</v>
      </c>
      <c r="D54" s="9" t="s">
        <v>26</v>
      </c>
      <c r="E54" s="9" t="str">
        <f>"曹长璐"</f>
        <v>曹长璐</v>
      </c>
      <c r="F54" s="9" t="str">
        <f>"20228022807"</f>
        <v>20228022807</v>
      </c>
      <c r="G54" s="10">
        <v>94</v>
      </c>
      <c r="H54" s="10">
        <v>94.6</v>
      </c>
      <c r="I54" s="10">
        <v>94.36</v>
      </c>
      <c r="J54" s="10"/>
      <c r="K54" s="16">
        <f t="shared" si="0"/>
        <v>94.36</v>
      </c>
      <c r="L54" s="16">
        <v>84.72</v>
      </c>
      <c r="M54" s="16">
        <f t="shared" si="1"/>
        <v>81.068</v>
      </c>
    </row>
    <row r="55" spans="1:13" s="1" customFormat="1" ht="13.5" customHeight="1">
      <c r="A55" s="5">
        <v>53</v>
      </c>
      <c r="B55" s="9" t="str">
        <f t="shared" si="9"/>
        <v>20220201</v>
      </c>
      <c r="C55" s="9" t="s">
        <v>14</v>
      </c>
      <c r="D55" s="9" t="s">
        <v>26</v>
      </c>
      <c r="E55" s="9" t="str">
        <f>"马晴晴"</f>
        <v>马晴晴</v>
      </c>
      <c r="F55" s="9" t="str">
        <f>"20228022924"</f>
        <v>20228022924</v>
      </c>
      <c r="G55" s="10">
        <v>95.85</v>
      </c>
      <c r="H55" s="10">
        <v>92.8</v>
      </c>
      <c r="I55" s="10">
        <v>94.02</v>
      </c>
      <c r="J55" s="10"/>
      <c r="K55" s="16">
        <f t="shared" si="0"/>
        <v>94.02</v>
      </c>
      <c r="L55" s="16">
        <v>84.84</v>
      </c>
      <c r="M55" s="16">
        <f t="shared" si="1"/>
        <v>80.946</v>
      </c>
    </row>
    <row r="56" spans="1:13" ht="13.5" customHeight="1">
      <c r="A56" s="5">
        <v>54</v>
      </c>
      <c r="B56" s="9" t="str">
        <f t="shared" si="9"/>
        <v>20220201</v>
      </c>
      <c r="C56" s="9" t="s">
        <v>14</v>
      </c>
      <c r="D56" s="9" t="s">
        <v>26</v>
      </c>
      <c r="E56" s="9" t="str">
        <f>"刘梦茹"</f>
        <v>刘梦茹</v>
      </c>
      <c r="F56" s="9" t="str">
        <f>"20228023224"</f>
        <v>20228023224</v>
      </c>
      <c r="G56" s="10">
        <v>81.99</v>
      </c>
      <c r="H56" s="10">
        <v>101.6</v>
      </c>
      <c r="I56" s="10">
        <v>93.76</v>
      </c>
      <c r="J56" s="10"/>
      <c r="K56" s="16">
        <f t="shared" si="0"/>
        <v>93.76</v>
      </c>
      <c r="L56" s="16">
        <v>84.98</v>
      </c>
      <c r="M56" s="16">
        <f t="shared" si="1"/>
        <v>80.87200000000001</v>
      </c>
    </row>
    <row r="57" spans="1:13" ht="13.5" customHeight="1">
      <c r="A57" s="5">
        <v>55</v>
      </c>
      <c r="B57" s="9" t="str">
        <f t="shared" si="9"/>
        <v>20220201</v>
      </c>
      <c r="C57" s="9" t="s">
        <v>14</v>
      </c>
      <c r="D57" s="9" t="s">
        <v>26</v>
      </c>
      <c r="E57" s="9" t="str">
        <f>"张艺"</f>
        <v>张艺</v>
      </c>
      <c r="F57" s="9" t="str">
        <f>"20228022710"</f>
        <v>20228022710</v>
      </c>
      <c r="G57" s="10">
        <v>98.32</v>
      </c>
      <c r="H57" s="10">
        <v>91.1</v>
      </c>
      <c r="I57" s="10">
        <v>93.99</v>
      </c>
      <c r="J57" s="10"/>
      <c r="K57" s="16">
        <f t="shared" si="0"/>
        <v>93.99</v>
      </c>
      <c r="L57" s="16">
        <v>84.6</v>
      </c>
      <c r="M57" s="16">
        <f t="shared" si="1"/>
        <v>80.835</v>
      </c>
    </row>
    <row r="58" spans="1:13" ht="13.5" customHeight="1">
      <c r="A58" s="5">
        <v>56</v>
      </c>
      <c r="B58" s="9" t="str">
        <f t="shared" si="9"/>
        <v>20220201</v>
      </c>
      <c r="C58" s="9" t="s">
        <v>14</v>
      </c>
      <c r="D58" s="9" t="s">
        <v>26</v>
      </c>
      <c r="E58" s="9" t="str">
        <f>"池雨雨"</f>
        <v>池雨雨</v>
      </c>
      <c r="F58" s="9" t="str">
        <f>"20228022911"</f>
        <v>20228022911</v>
      </c>
      <c r="G58" s="10">
        <v>92.72</v>
      </c>
      <c r="H58" s="10">
        <v>95.1</v>
      </c>
      <c r="I58" s="10">
        <v>94.15</v>
      </c>
      <c r="J58" s="10"/>
      <c r="K58" s="16">
        <f t="shared" si="0"/>
        <v>94.15</v>
      </c>
      <c r="L58" s="16">
        <v>84.06</v>
      </c>
      <c r="M58" s="16">
        <f t="shared" si="1"/>
        <v>80.69900000000001</v>
      </c>
    </row>
    <row r="59" spans="1:13" ht="13.5" customHeight="1">
      <c r="A59" s="5">
        <v>57</v>
      </c>
      <c r="B59" s="9" t="str">
        <f aca="true" t="shared" si="10" ref="B59:B69">"20220202"</f>
        <v>20220202</v>
      </c>
      <c r="C59" s="9" t="s">
        <v>16</v>
      </c>
      <c r="D59" s="9" t="s">
        <v>26</v>
      </c>
      <c r="E59" s="9" t="str">
        <f>"张蕾"</f>
        <v>张蕾</v>
      </c>
      <c r="F59" s="9" t="str">
        <f>"20228024016"</f>
        <v>20228024016</v>
      </c>
      <c r="G59" s="10">
        <v>86.08</v>
      </c>
      <c r="H59" s="10">
        <v>95.4</v>
      </c>
      <c r="I59" s="10">
        <v>91.67</v>
      </c>
      <c r="J59" s="10"/>
      <c r="K59" s="16">
        <f t="shared" si="0"/>
        <v>91.67</v>
      </c>
      <c r="L59" s="16">
        <v>82.88</v>
      </c>
      <c r="M59" s="16">
        <f t="shared" si="1"/>
        <v>78.987</v>
      </c>
    </row>
    <row r="60" spans="1:13" ht="13.5" customHeight="1">
      <c r="A60" s="5">
        <v>58</v>
      </c>
      <c r="B60" s="9" t="str">
        <f t="shared" si="10"/>
        <v>20220202</v>
      </c>
      <c r="C60" s="9" t="s">
        <v>16</v>
      </c>
      <c r="D60" s="9" t="s">
        <v>26</v>
      </c>
      <c r="E60" s="9" t="str">
        <f>"李莹莹"</f>
        <v>李莹莹</v>
      </c>
      <c r="F60" s="9" t="str">
        <f>"20228023619"</f>
        <v>20228023619</v>
      </c>
      <c r="G60" s="10">
        <v>90.3</v>
      </c>
      <c r="H60" s="10">
        <v>92</v>
      </c>
      <c r="I60" s="10">
        <v>91.32</v>
      </c>
      <c r="J60" s="10"/>
      <c r="K60" s="16">
        <f t="shared" si="0"/>
        <v>91.32</v>
      </c>
      <c r="L60" s="16">
        <v>82.76</v>
      </c>
      <c r="M60" s="16">
        <f t="shared" si="1"/>
        <v>78.76400000000001</v>
      </c>
    </row>
    <row r="61" spans="1:13" ht="13.5" customHeight="1">
      <c r="A61" s="5">
        <v>59</v>
      </c>
      <c r="B61" s="9" t="str">
        <f t="shared" si="10"/>
        <v>20220202</v>
      </c>
      <c r="C61" s="9" t="s">
        <v>16</v>
      </c>
      <c r="D61" s="9" t="s">
        <v>26</v>
      </c>
      <c r="E61" s="9" t="str">
        <f>"董迎港"</f>
        <v>董迎港</v>
      </c>
      <c r="F61" s="9" t="str">
        <f>"20228023614"</f>
        <v>20228023614</v>
      </c>
      <c r="G61" s="10">
        <v>75.5</v>
      </c>
      <c r="H61" s="10">
        <v>100.6</v>
      </c>
      <c r="I61" s="10">
        <v>90.56</v>
      </c>
      <c r="J61" s="10"/>
      <c r="K61" s="16">
        <f t="shared" si="0"/>
        <v>90.56</v>
      </c>
      <c r="L61" s="16">
        <v>82.38</v>
      </c>
      <c r="M61" s="16">
        <f t="shared" si="1"/>
        <v>78.232</v>
      </c>
    </row>
    <row r="62" spans="1:13" ht="13.5" customHeight="1">
      <c r="A62" s="5">
        <v>60</v>
      </c>
      <c r="B62" s="9" t="str">
        <f t="shared" si="10"/>
        <v>20220202</v>
      </c>
      <c r="C62" s="9" t="s">
        <v>16</v>
      </c>
      <c r="D62" s="9" t="s">
        <v>26</v>
      </c>
      <c r="E62" s="9" t="str">
        <f>"完颜文静"</f>
        <v>完颜文静</v>
      </c>
      <c r="F62" s="9" t="str">
        <f>"20228023904"</f>
        <v>20228023904</v>
      </c>
      <c r="G62" s="10">
        <v>94.96</v>
      </c>
      <c r="H62" s="10">
        <v>83.7</v>
      </c>
      <c r="I62" s="10">
        <v>88.2</v>
      </c>
      <c r="J62" s="10"/>
      <c r="K62" s="16">
        <f t="shared" si="0"/>
        <v>88.2</v>
      </c>
      <c r="L62" s="16">
        <v>82.2</v>
      </c>
      <c r="M62" s="16">
        <f t="shared" si="1"/>
        <v>76.98</v>
      </c>
    </row>
    <row r="63" spans="1:13" ht="13.5" customHeight="1">
      <c r="A63" s="5">
        <v>61</v>
      </c>
      <c r="B63" s="9" t="str">
        <f t="shared" si="10"/>
        <v>20220202</v>
      </c>
      <c r="C63" s="9" t="s">
        <v>16</v>
      </c>
      <c r="D63" s="9" t="s">
        <v>26</v>
      </c>
      <c r="E63" s="9" t="str">
        <f>"王中山"</f>
        <v>王中山</v>
      </c>
      <c r="F63" s="9" t="str">
        <f>"20228023705"</f>
        <v>20228023705</v>
      </c>
      <c r="G63" s="10">
        <v>72.66</v>
      </c>
      <c r="H63" s="10">
        <v>94.4</v>
      </c>
      <c r="I63" s="10">
        <v>85.7</v>
      </c>
      <c r="J63" s="10"/>
      <c r="K63" s="16">
        <f t="shared" si="0"/>
        <v>85.7</v>
      </c>
      <c r="L63" s="16">
        <v>83.02</v>
      </c>
      <c r="M63" s="16">
        <f t="shared" si="1"/>
        <v>76.05799999999999</v>
      </c>
    </row>
    <row r="64" spans="1:13" ht="13.5" customHeight="1">
      <c r="A64" s="5">
        <v>62</v>
      </c>
      <c r="B64" s="9" t="str">
        <f t="shared" si="10"/>
        <v>20220202</v>
      </c>
      <c r="C64" s="9" t="s">
        <v>16</v>
      </c>
      <c r="D64" s="9" t="s">
        <v>26</v>
      </c>
      <c r="E64" s="9" t="str">
        <f>"陈梦茹"</f>
        <v>陈梦茹</v>
      </c>
      <c r="F64" s="9" t="str">
        <f>"20228023814"</f>
        <v>20228023814</v>
      </c>
      <c r="G64" s="10">
        <v>95.43</v>
      </c>
      <c r="H64" s="10">
        <v>79.8</v>
      </c>
      <c r="I64" s="10">
        <v>86.05</v>
      </c>
      <c r="J64" s="10"/>
      <c r="K64" s="16">
        <f t="shared" si="0"/>
        <v>86.05</v>
      </c>
      <c r="L64" s="16">
        <v>81.41</v>
      </c>
      <c r="M64" s="16">
        <f t="shared" si="1"/>
        <v>75.589</v>
      </c>
    </row>
    <row r="65" spans="1:13" s="1" customFormat="1" ht="13.5" customHeight="1">
      <c r="A65" s="5">
        <v>63</v>
      </c>
      <c r="B65" s="9" t="str">
        <f t="shared" si="10"/>
        <v>20220202</v>
      </c>
      <c r="C65" s="9" t="s">
        <v>16</v>
      </c>
      <c r="D65" s="9" t="s">
        <v>26</v>
      </c>
      <c r="E65" s="9" t="str">
        <f>"李晨晨"</f>
        <v>李晨晨</v>
      </c>
      <c r="F65" s="9" t="str">
        <f>"20228024001"</f>
        <v>20228024001</v>
      </c>
      <c r="G65" s="10">
        <v>90.21</v>
      </c>
      <c r="H65" s="10">
        <v>80.7</v>
      </c>
      <c r="I65" s="10">
        <v>84.5</v>
      </c>
      <c r="J65" s="10"/>
      <c r="K65" s="16">
        <f t="shared" si="0"/>
        <v>84.5</v>
      </c>
      <c r="L65" s="16">
        <v>82.56</v>
      </c>
      <c r="M65" s="16">
        <f t="shared" si="1"/>
        <v>75.274</v>
      </c>
    </row>
    <row r="66" spans="1:13" ht="13.5" customHeight="1">
      <c r="A66" s="5">
        <v>64</v>
      </c>
      <c r="B66" s="9" t="str">
        <f t="shared" si="10"/>
        <v>20220202</v>
      </c>
      <c r="C66" s="9" t="s">
        <v>16</v>
      </c>
      <c r="D66" s="9" t="s">
        <v>26</v>
      </c>
      <c r="E66" s="9" t="str">
        <f>"马云标"</f>
        <v>马云标</v>
      </c>
      <c r="F66" s="9" t="str">
        <f>"20228023803"</f>
        <v>20228023803</v>
      </c>
      <c r="G66" s="10">
        <v>84.87</v>
      </c>
      <c r="H66" s="10">
        <v>86.4</v>
      </c>
      <c r="I66" s="10">
        <v>85.79</v>
      </c>
      <c r="J66" s="10"/>
      <c r="K66" s="16">
        <f t="shared" si="0"/>
        <v>85.79</v>
      </c>
      <c r="L66" s="16">
        <v>80.52</v>
      </c>
      <c r="M66" s="16">
        <f t="shared" si="1"/>
        <v>75.10300000000001</v>
      </c>
    </row>
    <row r="67" spans="1:13" ht="13.5" customHeight="1">
      <c r="A67" s="5">
        <v>65</v>
      </c>
      <c r="B67" s="9" t="str">
        <f t="shared" si="10"/>
        <v>20220202</v>
      </c>
      <c r="C67" s="9" t="s">
        <v>16</v>
      </c>
      <c r="D67" s="9" t="s">
        <v>26</v>
      </c>
      <c r="E67" s="9" t="str">
        <f>"田玉莹"</f>
        <v>田玉莹</v>
      </c>
      <c r="F67" s="9" t="str">
        <f>"20228023911"</f>
        <v>20228023911</v>
      </c>
      <c r="G67" s="10">
        <v>76.23</v>
      </c>
      <c r="H67" s="10">
        <v>87.6</v>
      </c>
      <c r="I67" s="10">
        <v>83.05</v>
      </c>
      <c r="J67" s="10"/>
      <c r="K67" s="16">
        <f aca="true" t="shared" si="11" ref="K67:K130">I67+J67</f>
        <v>83.05</v>
      </c>
      <c r="L67" s="16">
        <v>82.36</v>
      </c>
      <c r="M67" s="16">
        <f aca="true" t="shared" si="12" ref="M67:M130">K67/1.2*0.6+L67*0.4</f>
        <v>74.469</v>
      </c>
    </row>
    <row r="68" spans="1:13" ht="13.5" customHeight="1">
      <c r="A68" s="5">
        <v>66</v>
      </c>
      <c r="B68" s="9" t="str">
        <f t="shared" si="10"/>
        <v>20220202</v>
      </c>
      <c r="C68" s="9" t="s">
        <v>16</v>
      </c>
      <c r="D68" s="9" t="s">
        <v>26</v>
      </c>
      <c r="E68" s="9" t="str">
        <f>"韩天珠"</f>
        <v>韩天珠</v>
      </c>
      <c r="F68" s="9" t="str">
        <f>"20228023708"</f>
        <v>20228023708</v>
      </c>
      <c r="G68" s="10">
        <v>75.84</v>
      </c>
      <c r="H68" s="10">
        <v>85.6</v>
      </c>
      <c r="I68" s="10">
        <v>81.7</v>
      </c>
      <c r="J68" s="10"/>
      <c r="K68" s="16">
        <f t="shared" si="11"/>
        <v>81.7</v>
      </c>
      <c r="L68" s="16">
        <v>84.04</v>
      </c>
      <c r="M68" s="16">
        <f t="shared" si="12"/>
        <v>74.46600000000001</v>
      </c>
    </row>
    <row r="69" spans="1:13" ht="13.5" customHeight="1">
      <c r="A69" s="5">
        <v>67</v>
      </c>
      <c r="B69" s="9" t="str">
        <f t="shared" si="10"/>
        <v>20220202</v>
      </c>
      <c r="C69" s="9" t="s">
        <v>16</v>
      </c>
      <c r="D69" s="9" t="s">
        <v>26</v>
      </c>
      <c r="E69" s="9" t="str">
        <f>"张超凡"</f>
        <v>张超凡</v>
      </c>
      <c r="F69" s="9" t="str">
        <f>"20228024002"</f>
        <v>20228024002</v>
      </c>
      <c r="G69" s="10">
        <v>75.85</v>
      </c>
      <c r="H69" s="10">
        <v>89.3</v>
      </c>
      <c r="I69" s="10">
        <v>83.92</v>
      </c>
      <c r="J69" s="10"/>
      <c r="K69" s="16">
        <f t="shared" si="11"/>
        <v>83.92</v>
      </c>
      <c r="L69" s="16">
        <v>80.92</v>
      </c>
      <c r="M69" s="16">
        <f t="shared" si="12"/>
        <v>74.328</v>
      </c>
    </row>
    <row r="70" spans="1:13" ht="13.5" customHeight="1">
      <c r="A70" s="5">
        <v>68</v>
      </c>
      <c r="B70" s="9" t="str">
        <f aca="true" t="shared" si="13" ref="B70:B80">"20220203"</f>
        <v>20220203</v>
      </c>
      <c r="C70" s="9" t="s">
        <v>18</v>
      </c>
      <c r="D70" s="9" t="s">
        <v>26</v>
      </c>
      <c r="E70" s="9" t="str">
        <f>"胡佳慧"</f>
        <v>胡佳慧</v>
      </c>
      <c r="F70" s="9" t="str">
        <f>"20228025410"</f>
        <v>20228025410</v>
      </c>
      <c r="G70" s="10">
        <v>97.28</v>
      </c>
      <c r="H70" s="10">
        <v>109.3</v>
      </c>
      <c r="I70" s="10">
        <v>104.49</v>
      </c>
      <c r="J70" s="10"/>
      <c r="K70" s="16">
        <f t="shared" si="11"/>
        <v>104.49</v>
      </c>
      <c r="L70" s="16">
        <v>85.05</v>
      </c>
      <c r="M70" s="16">
        <f t="shared" si="12"/>
        <v>86.265</v>
      </c>
    </row>
    <row r="71" spans="1:13" ht="13.5" customHeight="1">
      <c r="A71" s="5">
        <v>69</v>
      </c>
      <c r="B71" s="9" t="str">
        <f t="shared" si="13"/>
        <v>20220203</v>
      </c>
      <c r="C71" s="9" t="s">
        <v>18</v>
      </c>
      <c r="D71" s="9" t="s">
        <v>26</v>
      </c>
      <c r="E71" s="9" t="str">
        <f>"陆琰琰"</f>
        <v>陆琰琰</v>
      </c>
      <c r="F71" s="9" t="str">
        <f>"20228024627"</f>
        <v>20228024627</v>
      </c>
      <c r="G71" s="10">
        <v>91.87</v>
      </c>
      <c r="H71" s="10">
        <v>107.6</v>
      </c>
      <c r="I71" s="10">
        <v>101.31</v>
      </c>
      <c r="J71" s="10"/>
      <c r="K71" s="16">
        <f t="shared" si="11"/>
        <v>101.31</v>
      </c>
      <c r="L71" s="16">
        <v>85.24</v>
      </c>
      <c r="M71" s="16">
        <f t="shared" si="12"/>
        <v>84.751</v>
      </c>
    </row>
    <row r="72" spans="1:13" ht="13.5" customHeight="1">
      <c r="A72" s="5">
        <v>70</v>
      </c>
      <c r="B72" s="9" t="str">
        <f t="shared" si="13"/>
        <v>20220203</v>
      </c>
      <c r="C72" s="9" t="s">
        <v>18</v>
      </c>
      <c r="D72" s="9" t="s">
        <v>26</v>
      </c>
      <c r="E72" s="9" t="str">
        <f>"李明慧"</f>
        <v>李明慧</v>
      </c>
      <c r="F72" s="9" t="str">
        <f>"20228025406"</f>
        <v>20228025406</v>
      </c>
      <c r="G72" s="10">
        <v>99.58</v>
      </c>
      <c r="H72" s="10">
        <v>105.9</v>
      </c>
      <c r="I72" s="10">
        <v>103.37</v>
      </c>
      <c r="J72" s="10"/>
      <c r="K72" s="16">
        <f t="shared" si="11"/>
        <v>103.37</v>
      </c>
      <c r="L72" s="16">
        <v>82.64</v>
      </c>
      <c r="M72" s="16">
        <f t="shared" si="12"/>
        <v>84.74100000000001</v>
      </c>
    </row>
    <row r="73" spans="1:13" ht="13.5" customHeight="1">
      <c r="A73" s="5">
        <v>71</v>
      </c>
      <c r="B73" s="9" t="str">
        <f t="shared" si="13"/>
        <v>20220203</v>
      </c>
      <c r="C73" s="9" t="s">
        <v>18</v>
      </c>
      <c r="D73" s="9" t="s">
        <v>26</v>
      </c>
      <c r="E73" s="9" t="str">
        <f>"宋丹丹"</f>
        <v>宋丹丹</v>
      </c>
      <c r="F73" s="9" t="str">
        <f>"20228024917"</f>
        <v>20228024917</v>
      </c>
      <c r="G73" s="10">
        <v>94.27</v>
      </c>
      <c r="H73" s="10">
        <v>106.9</v>
      </c>
      <c r="I73" s="10">
        <v>101.85</v>
      </c>
      <c r="J73" s="10"/>
      <c r="K73" s="16">
        <f t="shared" si="11"/>
        <v>101.85</v>
      </c>
      <c r="L73" s="16">
        <v>83.28</v>
      </c>
      <c r="M73" s="16">
        <f t="shared" si="12"/>
        <v>84.237</v>
      </c>
    </row>
    <row r="74" spans="1:13" ht="13.5" customHeight="1">
      <c r="A74" s="5">
        <v>72</v>
      </c>
      <c r="B74" s="9" t="str">
        <f t="shared" si="13"/>
        <v>20220203</v>
      </c>
      <c r="C74" s="9" t="s">
        <v>18</v>
      </c>
      <c r="D74" s="9" t="s">
        <v>26</v>
      </c>
      <c r="E74" s="9" t="str">
        <f>"许金金"</f>
        <v>许金金</v>
      </c>
      <c r="F74" s="9" t="str">
        <f>"20228025122"</f>
        <v>20228025122</v>
      </c>
      <c r="G74" s="10">
        <v>98.28</v>
      </c>
      <c r="H74" s="10">
        <v>101.1</v>
      </c>
      <c r="I74" s="10">
        <v>99.97</v>
      </c>
      <c r="J74" s="10"/>
      <c r="K74" s="16">
        <f t="shared" si="11"/>
        <v>99.97</v>
      </c>
      <c r="L74" s="16">
        <v>85.1</v>
      </c>
      <c r="M74" s="16">
        <f t="shared" si="12"/>
        <v>84.025</v>
      </c>
    </row>
    <row r="75" spans="1:13" ht="13.5" customHeight="1">
      <c r="A75" s="5">
        <v>73</v>
      </c>
      <c r="B75" s="9" t="str">
        <f t="shared" si="13"/>
        <v>20220203</v>
      </c>
      <c r="C75" s="9" t="s">
        <v>18</v>
      </c>
      <c r="D75" s="9" t="s">
        <v>26</v>
      </c>
      <c r="E75" s="9" t="str">
        <f>"郝晗钰"</f>
        <v>郝晗钰</v>
      </c>
      <c r="F75" s="9" t="str">
        <f>"20228025411"</f>
        <v>20228025411</v>
      </c>
      <c r="G75" s="10">
        <v>95.69</v>
      </c>
      <c r="H75" s="10">
        <v>105.8</v>
      </c>
      <c r="I75" s="10">
        <v>101.76</v>
      </c>
      <c r="J75" s="10"/>
      <c r="K75" s="16">
        <f t="shared" si="11"/>
        <v>101.76</v>
      </c>
      <c r="L75" s="16">
        <v>81.79</v>
      </c>
      <c r="M75" s="16">
        <f t="shared" si="12"/>
        <v>83.596</v>
      </c>
    </row>
    <row r="76" spans="1:13" ht="13.5" customHeight="1">
      <c r="A76" s="5">
        <v>74</v>
      </c>
      <c r="B76" s="9" t="str">
        <f t="shared" si="13"/>
        <v>20220203</v>
      </c>
      <c r="C76" s="9" t="s">
        <v>18</v>
      </c>
      <c r="D76" s="9" t="s">
        <v>26</v>
      </c>
      <c r="E76" s="9" t="str">
        <f>"周娟"</f>
        <v>周娟</v>
      </c>
      <c r="F76" s="9" t="str">
        <f>"20228025005"</f>
        <v>20228025005</v>
      </c>
      <c r="G76" s="10">
        <v>95.65</v>
      </c>
      <c r="H76" s="10">
        <v>108.9</v>
      </c>
      <c r="I76" s="10">
        <v>103.6</v>
      </c>
      <c r="J76" s="10"/>
      <c r="K76" s="16">
        <f t="shared" si="11"/>
        <v>103.6</v>
      </c>
      <c r="L76" s="16">
        <v>79.02</v>
      </c>
      <c r="M76" s="16">
        <f t="shared" si="12"/>
        <v>83.408</v>
      </c>
    </row>
    <row r="77" spans="1:13" ht="13.5" customHeight="1">
      <c r="A77" s="5">
        <v>75</v>
      </c>
      <c r="B77" s="9" t="str">
        <f t="shared" si="13"/>
        <v>20220203</v>
      </c>
      <c r="C77" s="9" t="s">
        <v>18</v>
      </c>
      <c r="D77" s="9" t="s">
        <v>26</v>
      </c>
      <c r="E77" s="9" t="str">
        <f>"潘情情"</f>
        <v>潘情情</v>
      </c>
      <c r="F77" s="9" t="str">
        <f>"20228025422"</f>
        <v>20228025422</v>
      </c>
      <c r="G77" s="10">
        <v>95.74</v>
      </c>
      <c r="H77" s="10">
        <v>104.6</v>
      </c>
      <c r="I77" s="10">
        <v>101.06</v>
      </c>
      <c r="J77" s="10"/>
      <c r="K77" s="16">
        <f t="shared" si="11"/>
        <v>101.06</v>
      </c>
      <c r="L77" s="16">
        <v>81.66</v>
      </c>
      <c r="M77" s="16">
        <f t="shared" si="12"/>
        <v>83.194</v>
      </c>
    </row>
    <row r="78" spans="1:13" ht="13.5" customHeight="1">
      <c r="A78" s="5">
        <v>76</v>
      </c>
      <c r="B78" s="9" t="str">
        <f t="shared" si="13"/>
        <v>20220203</v>
      </c>
      <c r="C78" s="9" t="s">
        <v>18</v>
      </c>
      <c r="D78" s="9" t="s">
        <v>26</v>
      </c>
      <c r="E78" s="9" t="str">
        <f>"李慧"</f>
        <v>李慧</v>
      </c>
      <c r="F78" s="9" t="str">
        <f>"20228025112"</f>
        <v>20228025112</v>
      </c>
      <c r="G78" s="10">
        <v>96.09</v>
      </c>
      <c r="H78" s="10">
        <v>102.1</v>
      </c>
      <c r="I78" s="10">
        <v>99.7</v>
      </c>
      <c r="J78" s="10"/>
      <c r="K78" s="16">
        <f t="shared" si="11"/>
        <v>99.7</v>
      </c>
      <c r="L78" s="16">
        <v>82.97</v>
      </c>
      <c r="M78" s="16">
        <f t="shared" si="12"/>
        <v>83.03800000000001</v>
      </c>
    </row>
    <row r="79" spans="1:13" ht="13.5" customHeight="1">
      <c r="A79" s="5">
        <v>77</v>
      </c>
      <c r="B79" s="9" t="str">
        <f t="shared" si="13"/>
        <v>20220203</v>
      </c>
      <c r="C79" s="9" t="s">
        <v>18</v>
      </c>
      <c r="D79" s="9" t="s">
        <v>26</v>
      </c>
      <c r="E79" s="9" t="str">
        <f>"刘志会"</f>
        <v>刘志会</v>
      </c>
      <c r="F79" s="9" t="str">
        <f>"20228025019"</f>
        <v>20228025019</v>
      </c>
      <c r="G79" s="10">
        <v>93.08</v>
      </c>
      <c r="H79" s="10">
        <v>103.6</v>
      </c>
      <c r="I79" s="10">
        <v>99.39</v>
      </c>
      <c r="J79" s="10"/>
      <c r="K79" s="16">
        <f t="shared" si="11"/>
        <v>99.39</v>
      </c>
      <c r="L79" s="16">
        <v>82.82</v>
      </c>
      <c r="M79" s="16">
        <f t="shared" si="12"/>
        <v>82.82300000000001</v>
      </c>
    </row>
    <row r="80" spans="1:13" ht="13.5" customHeight="1">
      <c r="A80" s="5">
        <v>78</v>
      </c>
      <c r="B80" s="9" t="str">
        <f t="shared" si="13"/>
        <v>20220203</v>
      </c>
      <c r="C80" s="9" t="s">
        <v>18</v>
      </c>
      <c r="D80" s="9" t="s">
        <v>26</v>
      </c>
      <c r="E80" s="9" t="str">
        <f>"韩凯华"</f>
        <v>韩凯华</v>
      </c>
      <c r="F80" s="9" t="str">
        <f>"20228025009"</f>
        <v>20228025009</v>
      </c>
      <c r="G80" s="10">
        <v>99.16</v>
      </c>
      <c r="H80" s="10">
        <v>102</v>
      </c>
      <c r="I80" s="10">
        <v>100.86</v>
      </c>
      <c r="J80" s="10"/>
      <c r="K80" s="16">
        <f t="shared" si="11"/>
        <v>100.86</v>
      </c>
      <c r="L80" s="16">
        <v>80.96</v>
      </c>
      <c r="M80" s="16">
        <f t="shared" si="12"/>
        <v>82.814</v>
      </c>
    </row>
    <row r="81" spans="1:13" ht="13.5" customHeight="1">
      <c r="A81" s="5">
        <v>79</v>
      </c>
      <c r="B81" s="9" t="str">
        <f aca="true" t="shared" si="14" ref="B81:B84">"20220204"</f>
        <v>20220204</v>
      </c>
      <c r="C81" s="9" t="s">
        <v>19</v>
      </c>
      <c r="D81" s="9" t="s">
        <v>26</v>
      </c>
      <c r="E81" s="9" t="str">
        <f>"李飞翔"</f>
        <v>李飞翔</v>
      </c>
      <c r="F81" s="9" t="str">
        <f>"20228025628"</f>
        <v>20228025628</v>
      </c>
      <c r="G81" s="10">
        <v>95.33</v>
      </c>
      <c r="H81" s="10">
        <v>81.1</v>
      </c>
      <c r="I81" s="10">
        <v>86.79</v>
      </c>
      <c r="J81" s="10"/>
      <c r="K81" s="16">
        <f t="shared" si="11"/>
        <v>86.79</v>
      </c>
      <c r="L81" s="16">
        <v>82.62</v>
      </c>
      <c r="M81" s="16">
        <f t="shared" si="12"/>
        <v>76.44300000000001</v>
      </c>
    </row>
    <row r="82" spans="1:13" ht="13.5" customHeight="1">
      <c r="A82" s="5">
        <v>80</v>
      </c>
      <c r="B82" s="9" t="str">
        <f t="shared" si="14"/>
        <v>20220204</v>
      </c>
      <c r="C82" s="9" t="s">
        <v>19</v>
      </c>
      <c r="D82" s="9" t="s">
        <v>26</v>
      </c>
      <c r="E82" s="9" t="str">
        <f>"蔡华豹"</f>
        <v>蔡华豹</v>
      </c>
      <c r="F82" s="9" t="str">
        <f>"20228025629"</f>
        <v>20228025629</v>
      </c>
      <c r="G82" s="10">
        <v>85.92</v>
      </c>
      <c r="H82" s="10">
        <v>65.2</v>
      </c>
      <c r="I82" s="10">
        <v>73.49</v>
      </c>
      <c r="J82" s="10"/>
      <c r="K82" s="16">
        <f t="shared" si="11"/>
        <v>73.49</v>
      </c>
      <c r="L82" s="16">
        <v>78.28</v>
      </c>
      <c r="M82" s="16">
        <f t="shared" si="12"/>
        <v>68.057</v>
      </c>
    </row>
    <row r="83" spans="1:13" ht="13.5" customHeight="1">
      <c r="A83" s="5">
        <v>81</v>
      </c>
      <c r="B83" s="9" t="str">
        <f t="shared" si="14"/>
        <v>20220204</v>
      </c>
      <c r="C83" s="9" t="s">
        <v>19</v>
      </c>
      <c r="D83" s="9" t="s">
        <v>26</v>
      </c>
      <c r="E83" s="9" t="str">
        <f>"朱敬亮"</f>
        <v>朱敬亮</v>
      </c>
      <c r="F83" s="9" t="str">
        <f>"20228025627"</f>
        <v>20228025627</v>
      </c>
      <c r="G83" s="10">
        <v>69.53</v>
      </c>
      <c r="H83" s="10">
        <v>54.8</v>
      </c>
      <c r="I83" s="10">
        <v>60.69</v>
      </c>
      <c r="J83" s="10"/>
      <c r="K83" s="16">
        <f t="shared" si="11"/>
        <v>60.69</v>
      </c>
      <c r="L83" s="16">
        <v>85.24</v>
      </c>
      <c r="M83" s="16">
        <f t="shared" si="12"/>
        <v>64.441</v>
      </c>
    </row>
    <row r="84" spans="1:13" ht="13.5" customHeight="1">
      <c r="A84" s="5">
        <v>82</v>
      </c>
      <c r="B84" s="9" t="str">
        <f t="shared" si="14"/>
        <v>20220204</v>
      </c>
      <c r="C84" s="9" t="s">
        <v>19</v>
      </c>
      <c r="D84" s="9" t="s">
        <v>26</v>
      </c>
      <c r="E84" s="9" t="str">
        <f>"潘友佳"</f>
        <v>潘友佳</v>
      </c>
      <c r="F84" s="9" t="str">
        <f>"20228025617"</f>
        <v>20228025617</v>
      </c>
      <c r="G84" s="10">
        <v>76.54</v>
      </c>
      <c r="H84" s="10">
        <v>52.6</v>
      </c>
      <c r="I84" s="10">
        <v>62.18</v>
      </c>
      <c r="J84" s="10"/>
      <c r="K84" s="16">
        <f t="shared" si="11"/>
        <v>62.18</v>
      </c>
      <c r="L84" s="16">
        <v>78.78</v>
      </c>
      <c r="M84" s="16">
        <f t="shared" si="12"/>
        <v>62.602000000000004</v>
      </c>
    </row>
    <row r="85" spans="1:13" ht="13.5" customHeight="1">
      <c r="A85" s="5">
        <v>83</v>
      </c>
      <c r="B85" s="9" t="str">
        <f>"20220205"</f>
        <v>20220205</v>
      </c>
      <c r="C85" s="9" t="s">
        <v>20</v>
      </c>
      <c r="D85" s="9" t="s">
        <v>26</v>
      </c>
      <c r="E85" s="9" t="str">
        <f>"许海艳"</f>
        <v>许海艳</v>
      </c>
      <c r="F85" s="9" t="str">
        <f>"20228026115"</f>
        <v>20228026115</v>
      </c>
      <c r="G85" s="10">
        <v>96.48</v>
      </c>
      <c r="H85" s="10">
        <v>86.2</v>
      </c>
      <c r="I85" s="10">
        <v>90.31</v>
      </c>
      <c r="J85" s="10"/>
      <c r="K85" s="16">
        <f t="shared" si="11"/>
        <v>90.31</v>
      </c>
      <c r="L85" s="16">
        <v>84.52</v>
      </c>
      <c r="M85" s="16">
        <f t="shared" si="12"/>
        <v>78.963</v>
      </c>
    </row>
    <row r="86" spans="1:13" ht="13.5" customHeight="1">
      <c r="A86" s="5">
        <v>84</v>
      </c>
      <c r="B86" s="9" t="str">
        <f aca="true" t="shared" si="15" ref="B86:B88">"20220206"</f>
        <v>20220206</v>
      </c>
      <c r="C86" s="9" t="s">
        <v>21</v>
      </c>
      <c r="D86" s="9" t="s">
        <v>26</v>
      </c>
      <c r="E86" s="9" t="str">
        <f>"殷海珍"</f>
        <v>殷海珍</v>
      </c>
      <c r="F86" s="9" t="str">
        <f>"20228026504"</f>
        <v>20228026504</v>
      </c>
      <c r="G86" s="10">
        <v>95.9</v>
      </c>
      <c r="H86" s="10">
        <v>96.6</v>
      </c>
      <c r="I86" s="10">
        <v>96.32</v>
      </c>
      <c r="J86" s="10"/>
      <c r="K86" s="16">
        <f t="shared" si="11"/>
        <v>96.32</v>
      </c>
      <c r="L86" s="16">
        <v>87.6</v>
      </c>
      <c r="M86" s="16">
        <f t="shared" si="12"/>
        <v>83.19999999999999</v>
      </c>
    </row>
    <row r="87" spans="1:13" ht="13.5" customHeight="1">
      <c r="A87" s="5">
        <v>85</v>
      </c>
      <c r="B87" s="9" t="str">
        <f t="shared" si="15"/>
        <v>20220206</v>
      </c>
      <c r="C87" s="9" t="s">
        <v>21</v>
      </c>
      <c r="D87" s="9" t="s">
        <v>26</v>
      </c>
      <c r="E87" s="9" t="str">
        <f>"吕颖慧"</f>
        <v>吕颖慧</v>
      </c>
      <c r="F87" s="9" t="str">
        <f>"20228026425"</f>
        <v>20228026425</v>
      </c>
      <c r="G87" s="10">
        <v>91.07</v>
      </c>
      <c r="H87" s="10">
        <v>99.7</v>
      </c>
      <c r="I87" s="10">
        <v>96.25</v>
      </c>
      <c r="J87" s="10"/>
      <c r="K87" s="16">
        <f t="shared" si="11"/>
        <v>96.25</v>
      </c>
      <c r="L87" s="16">
        <v>77.2</v>
      </c>
      <c r="M87" s="16">
        <f t="shared" si="12"/>
        <v>79.00500000000001</v>
      </c>
    </row>
    <row r="88" spans="1:13" ht="13.5" customHeight="1">
      <c r="A88" s="5">
        <v>86</v>
      </c>
      <c r="B88" s="9" t="str">
        <f t="shared" si="15"/>
        <v>20220206</v>
      </c>
      <c r="C88" s="9" t="s">
        <v>21</v>
      </c>
      <c r="D88" s="9" t="s">
        <v>26</v>
      </c>
      <c r="E88" s="9" t="str">
        <f>"韩雪"</f>
        <v>韩雪</v>
      </c>
      <c r="F88" s="9" t="str">
        <f>"20228026503"</f>
        <v>20228026503</v>
      </c>
      <c r="G88" s="10">
        <v>92.23</v>
      </c>
      <c r="H88" s="10">
        <v>90.3</v>
      </c>
      <c r="I88" s="10">
        <v>91.07</v>
      </c>
      <c r="J88" s="10"/>
      <c r="K88" s="16">
        <f t="shared" si="11"/>
        <v>91.07</v>
      </c>
      <c r="L88" s="16">
        <v>81</v>
      </c>
      <c r="M88" s="16">
        <f t="shared" si="12"/>
        <v>77.935</v>
      </c>
    </row>
    <row r="89" spans="1:13" ht="13.5" customHeight="1">
      <c r="A89" s="5">
        <v>87</v>
      </c>
      <c r="B89" s="9" t="str">
        <f aca="true" t="shared" si="16" ref="B89:B91">"20220207"</f>
        <v>20220207</v>
      </c>
      <c r="C89" s="9" t="s">
        <v>27</v>
      </c>
      <c r="D89" s="9" t="s">
        <v>26</v>
      </c>
      <c r="E89" s="9" t="str">
        <f>"刘晓倩"</f>
        <v>刘晓倩</v>
      </c>
      <c r="F89" s="9" t="str">
        <f>"20228026525"</f>
        <v>20228026525</v>
      </c>
      <c r="G89" s="10">
        <v>93.54</v>
      </c>
      <c r="H89" s="10">
        <v>102.3</v>
      </c>
      <c r="I89" s="10">
        <v>98.8</v>
      </c>
      <c r="J89" s="10"/>
      <c r="K89" s="16">
        <f t="shared" si="11"/>
        <v>98.8</v>
      </c>
      <c r="L89" s="16">
        <v>85.26</v>
      </c>
      <c r="M89" s="16">
        <f t="shared" si="12"/>
        <v>83.504</v>
      </c>
    </row>
    <row r="90" spans="1:13" ht="13.5" customHeight="1">
      <c r="A90" s="5">
        <v>88</v>
      </c>
      <c r="B90" s="9" t="str">
        <f t="shared" si="16"/>
        <v>20220207</v>
      </c>
      <c r="C90" s="9" t="s">
        <v>27</v>
      </c>
      <c r="D90" s="9" t="s">
        <v>26</v>
      </c>
      <c r="E90" s="9" t="str">
        <f>"段苗苗"</f>
        <v>段苗苗</v>
      </c>
      <c r="F90" s="9" t="str">
        <f>"20228026520"</f>
        <v>20228026520</v>
      </c>
      <c r="G90" s="10">
        <v>82.79</v>
      </c>
      <c r="H90" s="10">
        <v>96.6</v>
      </c>
      <c r="I90" s="10">
        <v>91.08</v>
      </c>
      <c r="J90" s="10"/>
      <c r="K90" s="16">
        <f t="shared" si="11"/>
        <v>91.08</v>
      </c>
      <c r="L90" s="16">
        <v>80.85</v>
      </c>
      <c r="M90" s="16">
        <f t="shared" si="12"/>
        <v>77.88</v>
      </c>
    </row>
    <row r="91" spans="1:13" ht="13.5" customHeight="1">
      <c r="A91" s="5">
        <v>89</v>
      </c>
      <c r="B91" s="9" t="str">
        <f t="shared" si="16"/>
        <v>20220207</v>
      </c>
      <c r="C91" s="9" t="s">
        <v>27</v>
      </c>
      <c r="D91" s="9" t="s">
        <v>26</v>
      </c>
      <c r="E91" s="9" t="str">
        <f>"袁媛"</f>
        <v>袁媛</v>
      </c>
      <c r="F91" s="9" t="str">
        <f>"20228026522"</f>
        <v>20228026522</v>
      </c>
      <c r="G91" s="10">
        <v>75.57</v>
      </c>
      <c r="H91" s="10">
        <v>97.5</v>
      </c>
      <c r="I91" s="10">
        <v>88.73</v>
      </c>
      <c r="J91" s="10"/>
      <c r="K91" s="16">
        <f t="shared" si="11"/>
        <v>88.73</v>
      </c>
      <c r="L91" s="16">
        <v>75.97</v>
      </c>
      <c r="M91" s="16">
        <f t="shared" si="12"/>
        <v>74.753</v>
      </c>
    </row>
    <row r="92" spans="1:13" ht="13.5" customHeight="1">
      <c r="A92" s="5">
        <v>90</v>
      </c>
      <c r="B92" s="9" t="str">
        <f aca="true" t="shared" si="17" ref="B92:B94">"20220208"</f>
        <v>20220208</v>
      </c>
      <c r="C92" s="9" t="s">
        <v>23</v>
      </c>
      <c r="D92" s="9" t="s">
        <v>26</v>
      </c>
      <c r="E92" s="9" t="str">
        <f>"朱志强"</f>
        <v>朱志强</v>
      </c>
      <c r="F92" s="9" t="str">
        <f>"20228026708"</f>
        <v>20228026708</v>
      </c>
      <c r="G92" s="10">
        <v>74.13</v>
      </c>
      <c r="H92" s="10">
        <v>101.8</v>
      </c>
      <c r="I92" s="10">
        <v>90.73</v>
      </c>
      <c r="J92" s="10"/>
      <c r="K92" s="16">
        <f t="shared" si="11"/>
        <v>90.73</v>
      </c>
      <c r="L92" s="16">
        <v>85.41</v>
      </c>
      <c r="M92" s="16">
        <f t="shared" si="12"/>
        <v>79.529</v>
      </c>
    </row>
    <row r="93" spans="1:13" ht="13.5" customHeight="1">
      <c r="A93" s="5">
        <v>91</v>
      </c>
      <c r="B93" s="9" t="str">
        <f t="shared" si="17"/>
        <v>20220208</v>
      </c>
      <c r="C93" s="9" t="s">
        <v>23</v>
      </c>
      <c r="D93" s="9" t="s">
        <v>26</v>
      </c>
      <c r="E93" s="9" t="str">
        <f>"付澳"</f>
        <v>付澳</v>
      </c>
      <c r="F93" s="9" t="str">
        <f>"20228026710"</f>
        <v>20228026710</v>
      </c>
      <c r="G93" s="10">
        <v>85.87</v>
      </c>
      <c r="H93" s="10">
        <v>103.8</v>
      </c>
      <c r="I93" s="10">
        <v>96.63</v>
      </c>
      <c r="J93" s="10"/>
      <c r="K93" s="16">
        <f t="shared" si="11"/>
        <v>96.63</v>
      </c>
      <c r="L93" s="16">
        <v>77.77</v>
      </c>
      <c r="M93" s="16">
        <f t="shared" si="12"/>
        <v>79.423</v>
      </c>
    </row>
    <row r="94" spans="1:13" ht="13.5" customHeight="1">
      <c r="A94" s="5">
        <v>92</v>
      </c>
      <c r="B94" s="9" t="str">
        <f t="shared" si="17"/>
        <v>20220208</v>
      </c>
      <c r="C94" s="9" t="s">
        <v>23</v>
      </c>
      <c r="D94" s="9" t="s">
        <v>26</v>
      </c>
      <c r="E94" s="9" t="str">
        <f>"祝会会"</f>
        <v>祝会会</v>
      </c>
      <c r="F94" s="9" t="str">
        <f>"20228026701"</f>
        <v>20228026701</v>
      </c>
      <c r="G94" s="10">
        <v>98.47</v>
      </c>
      <c r="H94" s="10">
        <v>92</v>
      </c>
      <c r="I94" s="10">
        <v>94.59</v>
      </c>
      <c r="J94" s="10"/>
      <c r="K94" s="16">
        <f t="shared" si="11"/>
        <v>94.59</v>
      </c>
      <c r="L94" s="16">
        <v>79.92</v>
      </c>
      <c r="M94" s="16">
        <f t="shared" si="12"/>
        <v>79.263</v>
      </c>
    </row>
    <row r="95" spans="1:13" ht="13.5" customHeight="1">
      <c r="A95" s="5">
        <v>93</v>
      </c>
      <c r="B95" s="9" t="str">
        <f aca="true" t="shared" si="18" ref="B95:B98">"20220209"</f>
        <v>20220209</v>
      </c>
      <c r="C95" s="9" t="s">
        <v>24</v>
      </c>
      <c r="D95" s="9" t="s">
        <v>26</v>
      </c>
      <c r="E95" s="9" t="str">
        <f>"郜培侠"</f>
        <v>郜培侠</v>
      </c>
      <c r="F95" s="9" t="str">
        <f>"20228026224"</f>
        <v>20228026224</v>
      </c>
      <c r="G95" s="10">
        <v>86.22</v>
      </c>
      <c r="H95" s="10">
        <v>98.3</v>
      </c>
      <c r="I95" s="10">
        <v>93.47</v>
      </c>
      <c r="J95" s="10"/>
      <c r="K95" s="16">
        <f t="shared" si="11"/>
        <v>93.47</v>
      </c>
      <c r="L95" s="16">
        <v>83.6</v>
      </c>
      <c r="M95" s="16">
        <f t="shared" si="12"/>
        <v>80.175</v>
      </c>
    </row>
    <row r="96" spans="1:13" ht="13.5" customHeight="1">
      <c r="A96" s="5">
        <v>94</v>
      </c>
      <c r="B96" s="9" t="str">
        <f t="shared" si="18"/>
        <v>20220209</v>
      </c>
      <c r="C96" s="9" t="s">
        <v>24</v>
      </c>
      <c r="D96" s="9" t="s">
        <v>26</v>
      </c>
      <c r="E96" s="9" t="str">
        <f>"曹娇宇"</f>
        <v>曹娇宇</v>
      </c>
      <c r="F96" s="9" t="str">
        <f>"20228026228"</f>
        <v>20228026228</v>
      </c>
      <c r="G96" s="10">
        <v>83.11</v>
      </c>
      <c r="H96" s="10">
        <v>90.7</v>
      </c>
      <c r="I96" s="10">
        <v>87.66</v>
      </c>
      <c r="J96" s="10"/>
      <c r="K96" s="16">
        <f t="shared" si="11"/>
        <v>87.66</v>
      </c>
      <c r="L96" s="16">
        <v>84.1</v>
      </c>
      <c r="M96" s="16">
        <f t="shared" si="12"/>
        <v>77.47</v>
      </c>
    </row>
    <row r="97" spans="1:13" ht="13.5" customHeight="1">
      <c r="A97" s="5">
        <v>95</v>
      </c>
      <c r="B97" s="9" t="str">
        <f t="shared" si="18"/>
        <v>20220209</v>
      </c>
      <c r="C97" s="9" t="s">
        <v>24</v>
      </c>
      <c r="D97" s="9" t="s">
        <v>26</v>
      </c>
      <c r="E97" s="9" t="str">
        <f>"陶媛媛"</f>
        <v>陶媛媛</v>
      </c>
      <c r="F97" s="9" t="str">
        <f>"20228026216"</f>
        <v>20228026216</v>
      </c>
      <c r="G97" s="10">
        <v>74.6</v>
      </c>
      <c r="H97" s="10">
        <v>97.6</v>
      </c>
      <c r="I97" s="10">
        <v>88.4</v>
      </c>
      <c r="J97" s="10"/>
      <c r="K97" s="16">
        <f t="shared" si="11"/>
        <v>88.4</v>
      </c>
      <c r="L97" s="16">
        <v>81.6</v>
      </c>
      <c r="M97" s="16">
        <f t="shared" si="12"/>
        <v>76.84</v>
      </c>
    </row>
    <row r="98" spans="1:13" ht="13.5" customHeight="1">
      <c r="A98" s="5">
        <v>96</v>
      </c>
      <c r="B98" s="9" t="str">
        <f t="shared" si="18"/>
        <v>20220209</v>
      </c>
      <c r="C98" s="9" t="s">
        <v>24</v>
      </c>
      <c r="D98" s="9" t="s">
        <v>26</v>
      </c>
      <c r="E98" s="9" t="str">
        <f>"张茹"</f>
        <v>张茹</v>
      </c>
      <c r="F98" s="9" t="str">
        <f>"20228026229"</f>
        <v>20228026229</v>
      </c>
      <c r="G98" s="10">
        <v>73.85</v>
      </c>
      <c r="H98" s="10">
        <v>85.7</v>
      </c>
      <c r="I98" s="10">
        <v>80.96</v>
      </c>
      <c r="J98" s="10"/>
      <c r="K98" s="16">
        <f t="shared" si="11"/>
        <v>80.96</v>
      </c>
      <c r="L98" s="16">
        <v>80.4</v>
      </c>
      <c r="M98" s="16">
        <f t="shared" si="12"/>
        <v>72.64</v>
      </c>
    </row>
    <row r="99" spans="1:13" ht="13.5" customHeight="1">
      <c r="A99" s="5">
        <v>97</v>
      </c>
      <c r="B99" s="9" t="str">
        <f aca="true" t="shared" si="19" ref="B99:B101">"20220210"</f>
        <v>20220210</v>
      </c>
      <c r="C99" s="9" t="s">
        <v>28</v>
      </c>
      <c r="D99" s="9" t="s">
        <v>26</v>
      </c>
      <c r="E99" s="9" t="str">
        <f>"朱梦圆"</f>
        <v>朱梦圆</v>
      </c>
      <c r="F99" s="9" t="str">
        <f>"20228027912"</f>
        <v>20228027912</v>
      </c>
      <c r="G99" s="10">
        <v>94.68</v>
      </c>
      <c r="H99" s="10">
        <v>79.7</v>
      </c>
      <c r="I99" s="10">
        <v>85.69</v>
      </c>
      <c r="J99" s="10"/>
      <c r="K99" s="16">
        <f t="shared" si="11"/>
        <v>85.69</v>
      </c>
      <c r="L99" s="16">
        <v>85.6</v>
      </c>
      <c r="M99" s="16">
        <f t="shared" si="12"/>
        <v>77.08500000000001</v>
      </c>
    </row>
    <row r="100" spans="1:13" ht="13.5" customHeight="1">
      <c r="A100" s="5">
        <v>98</v>
      </c>
      <c r="B100" s="9" t="str">
        <f t="shared" si="19"/>
        <v>20220210</v>
      </c>
      <c r="C100" s="9" t="s">
        <v>28</v>
      </c>
      <c r="D100" s="9" t="s">
        <v>26</v>
      </c>
      <c r="E100" s="9" t="str">
        <f>"李其伟"</f>
        <v>李其伟</v>
      </c>
      <c r="F100" s="9" t="str">
        <f>"20228027917"</f>
        <v>20228027917</v>
      </c>
      <c r="G100" s="10">
        <v>93.13</v>
      </c>
      <c r="H100" s="10">
        <v>79.6</v>
      </c>
      <c r="I100" s="10">
        <v>85.01</v>
      </c>
      <c r="J100" s="10"/>
      <c r="K100" s="16">
        <f t="shared" si="11"/>
        <v>85.01</v>
      </c>
      <c r="L100" s="16">
        <v>85.6</v>
      </c>
      <c r="M100" s="16">
        <f t="shared" si="12"/>
        <v>76.745</v>
      </c>
    </row>
    <row r="101" spans="1:13" s="1" customFormat="1" ht="13.5" customHeight="1">
      <c r="A101" s="5">
        <v>99</v>
      </c>
      <c r="B101" s="9" t="str">
        <f t="shared" si="19"/>
        <v>20220210</v>
      </c>
      <c r="C101" s="9" t="s">
        <v>28</v>
      </c>
      <c r="D101" s="9" t="s">
        <v>26</v>
      </c>
      <c r="E101" s="9" t="str">
        <f>"卢梦君"</f>
        <v>卢梦君</v>
      </c>
      <c r="F101" s="9" t="str">
        <f>"20228027902"</f>
        <v>20228027902</v>
      </c>
      <c r="G101" s="10">
        <v>94.83</v>
      </c>
      <c r="H101" s="10">
        <v>77.2</v>
      </c>
      <c r="I101" s="10">
        <v>84.25</v>
      </c>
      <c r="J101" s="10"/>
      <c r="K101" s="16">
        <f t="shared" si="11"/>
        <v>84.25</v>
      </c>
      <c r="L101" s="16">
        <v>84.6</v>
      </c>
      <c r="M101" s="16">
        <f t="shared" si="12"/>
        <v>75.965</v>
      </c>
    </row>
    <row r="102" spans="1:13" ht="13.5" customHeight="1">
      <c r="A102" s="5">
        <v>100</v>
      </c>
      <c r="B102" s="9" t="str">
        <f>"20220211"</f>
        <v>20220211</v>
      </c>
      <c r="C102" s="9" t="s">
        <v>29</v>
      </c>
      <c r="D102" s="9" t="s">
        <v>26</v>
      </c>
      <c r="E102" s="9" t="str">
        <f>"王文庆"</f>
        <v>王文庆</v>
      </c>
      <c r="F102" s="9" t="str">
        <f>"20228028005"</f>
        <v>20228028005</v>
      </c>
      <c r="G102" s="10">
        <v>89.93</v>
      </c>
      <c r="H102" s="10">
        <v>103.1</v>
      </c>
      <c r="I102" s="10">
        <v>97.83</v>
      </c>
      <c r="J102" s="10"/>
      <c r="K102" s="16">
        <f t="shared" si="11"/>
        <v>97.83</v>
      </c>
      <c r="L102" s="16">
        <v>84.8</v>
      </c>
      <c r="M102" s="16">
        <f t="shared" si="12"/>
        <v>82.83500000000001</v>
      </c>
    </row>
    <row r="103" spans="1:13" ht="13.5" customHeight="1">
      <c r="A103" s="5">
        <v>101</v>
      </c>
      <c r="B103" s="9" t="str">
        <f>"20220211"</f>
        <v>20220211</v>
      </c>
      <c r="C103" s="9" t="s">
        <v>29</v>
      </c>
      <c r="D103" s="9" t="s">
        <v>26</v>
      </c>
      <c r="E103" s="9" t="str">
        <f>"单兰兰"</f>
        <v>单兰兰</v>
      </c>
      <c r="F103" s="9" t="str">
        <f>"20228027923"</f>
        <v>20228027923</v>
      </c>
      <c r="G103" s="10">
        <v>86.8</v>
      </c>
      <c r="H103" s="10">
        <v>98.5</v>
      </c>
      <c r="I103" s="10">
        <v>93.82</v>
      </c>
      <c r="J103" s="10"/>
      <c r="K103" s="16">
        <f t="shared" si="11"/>
        <v>93.82</v>
      </c>
      <c r="L103" s="16">
        <v>80</v>
      </c>
      <c r="M103" s="16">
        <f t="shared" si="12"/>
        <v>78.91</v>
      </c>
    </row>
    <row r="104" spans="1:13" ht="13.5" customHeight="1">
      <c r="A104" s="5">
        <v>102</v>
      </c>
      <c r="B104" s="9" t="str">
        <f aca="true" t="shared" si="20" ref="B104:B109">"20220212"</f>
        <v>20220212</v>
      </c>
      <c r="C104" s="9" t="s">
        <v>25</v>
      </c>
      <c r="D104" s="9" t="s">
        <v>26</v>
      </c>
      <c r="E104" s="9" t="str">
        <f>"彭富"</f>
        <v>彭富</v>
      </c>
      <c r="F104" s="9" t="str">
        <f>"20228027407"</f>
        <v>20228027407</v>
      </c>
      <c r="G104" s="10">
        <v>88.34</v>
      </c>
      <c r="H104" s="10">
        <v>101.3</v>
      </c>
      <c r="I104" s="10">
        <v>96.12</v>
      </c>
      <c r="J104" s="10"/>
      <c r="K104" s="16">
        <f t="shared" si="11"/>
        <v>96.12</v>
      </c>
      <c r="L104" s="16">
        <v>82.4</v>
      </c>
      <c r="M104" s="16">
        <f t="shared" si="12"/>
        <v>81.02000000000001</v>
      </c>
    </row>
    <row r="105" spans="1:13" ht="13.5" customHeight="1">
      <c r="A105" s="5">
        <v>103</v>
      </c>
      <c r="B105" s="9" t="str">
        <f t="shared" si="20"/>
        <v>20220212</v>
      </c>
      <c r="C105" s="9" t="s">
        <v>25</v>
      </c>
      <c r="D105" s="9" t="s">
        <v>26</v>
      </c>
      <c r="E105" s="9" t="str">
        <f>"许承诺"</f>
        <v>许承诺</v>
      </c>
      <c r="F105" s="9" t="str">
        <f>"20228027725"</f>
        <v>20228027725</v>
      </c>
      <c r="G105" s="10">
        <v>97.29</v>
      </c>
      <c r="H105" s="10">
        <v>104.3</v>
      </c>
      <c r="I105" s="10">
        <v>101.5</v>
      </c>
      <c r="J105" s="10"/>
      <c r="K105" s="16">
        <f t="shared" si="11"/>
        <v>101.5</v>
      </c>
      <c r="L105" s="16">
        <v>66</v>
      </c>
      <c r="M105" s="16">
        <f t="shared" si="12"/>
        <v>77.15</v>
      </c>
    </row>
    <row r="106" spans="1:13" s="1" customFormat="1" ht="13.5" customHeight="1">
      <c r="A106" s="5">
        <v>104</v>
      </c>
      <c r="B106" s="9" t="str">
        <f t="shared" si="20"/>
        <v>20220212</v>
      </c>
      <c r="C106" s="9" t="s">
        <v>25</v>
      </c>
      <c r="D106" s="9" t="s">
        <v>26</v>
      </c>
      <c r="E106" s="9" t="str">
        <f>"李义博"</f>
        <v>李义博</v>
      </c>
      <c r="F106" s="9" t="str">
        <f>"20228027727"</f>
        <v>20228027727</v>
      </c>
      <c r="G106" s="10">
        <v>89.37</v>
      </c>
      <c r="H106" s="10">
        <v>90.2</v>
      </c>
      <c r="I106" s="10">
        <v>89.87</v>
      </c>
      <c r="J106" s="10"/>
      <c r="K106" s="16">
        <f t="shared" si="11"/>
        <v>89.87</v>
      </c>
      <c r="L106" s="16">
        <v>75</v>
      </c>
      <c r="M106" s="16">
        <f t="shared" si="12"/>
        <v>74.935</v>
      </c>
    </row>
    <row r="107" spans="1:13" ht="13.5" customHeight="1">
      <c r="A107" s="5">
        <v>105</v>
      </c>
      <c r="B107" s="9" t="str">
        <f t="shared" si="20"/>
        <v>20220212</v>
      </c>
      <c r="C107" s="9" t="s">
        <v>25</v>
      </c>
      <c r="D107" s="9" t="s">
        <v>26</v>
      </c>
      <c r="E107" s="9" t="str">
        <f>"程继成"</f>
        <v>程继成</v>
      </c>
      <c r="F107" s="9" t="str">
        <f>"20228027603"</f>
        <v>20228027603</v>
      </c>
      <c r="G107" s="10">
        <v>96.17</v>
      </c>
      <c r="H107" s="10">
        <v>97.7</v>
      </c>
      <c r="I107" s="10">
        <v>97.09</v>
      </c>
      <c r="J107" s="10"/>
      <c r="K107" s="16">
        <f t="shared" si="11"/>
        <v>97.09</v>
      </c>
      <c r="L107" s="16">
        <v>65</v>
      </c>
      <c r="M107" s="16">
        <f t="shared" si="12"/>
        <v>74.54500000000002</v>
      </c>
    </row>
    <row r="108" spans="1:13" ht="13.5" customHeight="1">
      <c r="A108" s="5">
        <v>106</v>
      </c>
      <c r="B108" s="9" t="str">
        <f t="shared" si="20"/>
        <v>20220212</v>
      </c>
      <c r="C108" s="9" t="s">
        <v>25</v>
      </c>
      <c r="D108" s="9" t="s">
        <v>26</v>
      </c>
      <c r="E108" s="9" t="str">
        <f>"代森林"</f>
        <v>代森林</v>
      </c>
      <c r="F108" s="9" t="str">
        <f>"20228027803"</f>
        <v>20228027803</v>
      </c>
      <c r="G108" s="10">
        <v>92.64</v>
      </c>
      <c r="H108" s="10">
        <v>98.4</v>
      </c>
      <c r="I108" s="10">
        <v>96.1</v>
      </c>
      <c r="J108" s="10"/>
      <c r="K108" s="16">
        <f t="shared" si="11"/>
        <v>96.1</v>
      </c>
      <c r="L108" s="16">
        <v>63</v>
      </c>
      <c r="M108" s="16">
        <f t="shared" si="12"/>
        <v>73.25</v>
      </c>
    </row>
    <row r="109" spans="1:13" ht="13.5" customHeight="1">
      <c r="A109" s="5">
        <v>107</v>
      </c>
      <c r="B109" s="9" t="str">
        <f t="shared" si="20"/>
        <v>20220212</v>
      </c>
      <c r="C109" s="9" t="s">
        <v>25</v>
      </c>
      <c r="D109" s="9" t="s">
        <v>26</v>
      </c>
      <c r="E109" s="9" t="str">
        <f>"程信"</f>
        <v>程信</v>
      </c>
      <c r="F109" s="9" t="str">
        <f>"20228027610"</f>
        <v>20228027610</v>
      </c>
      <c r="G109" s="10">
        <v>86.18</v>
      </c>
      <c r="H109" s="10">
        <v>99.2</v>
      </c>
      <c r="I109" s="10">
        <v>93.99</v>
      </c>
      <c r="J109" s="10"/>
      <c r="K109" s="16">
        <f t="shared" si="11"/>
        <v>93.99</v>
      </c>
      <c r="L109" s="16">
        <v>63</v>
      </c>
      <c r="M109" s="16">
        <f t="shared" si="12"/>
        <v>72.195</v>
      </c>
    </row>
    <row r="110" spans="1:13" ht="13.5" customHeight="1">
      <c r="A110" s="5">
        <v>108</v>
      </c>
      <c r="B110" s="9" t="str">
        <f>"20220213"</f>
        <v>20220213</v>
      </c>
      <c r="C110" s="9" t="s">
        <v>30</v>
      </c>
      <c r="D110" s="9" t="s">
        <v>26</v>
      </c>
      <c r="E110" s="9" t="str">
        <f>"张晶晶"</f>
        <v>张晶晶</v>
      </c>
      <c r="F110" s="9" t="str">
        <f>"20228027225"</f>
        <v>20228027225</v>
      </c>
      <c r="G110" s="10">
        <v>93.94</v>
      </c>
      <c r="H110" s="10">
        <v>106.2</v>
      </c>
      <c r="I110" s="10">
        <v>101.3</v>
      </c>
      <c r="J110" s="10"/>
      <c r="K110" s="16">
        <f t="shared" si="11"/>
        <v>101.3</v>
      </c>
      <c r="L110" s="16">
        <v>85.2</v>
      </c>
      <c r="M110" s="16">
        <f t="shared" si="12"/>
        <v>84.73</v>
      </c>
    </row>
    <row r="111" spans="1:13" ht="13.5" customHeight="1">
      <c r="A111" s="5">
        <v>109</v>
      </c>
      <c r="B111" s="9" t="str">
        <f>"20220213"</f>
        <v>20220213</v>
      </c>
      <c r="C111" s="9" t="s">
        <v>30</v>
      </c>
      <c r="D111" s="9" t="s">
        <v>26</v>
      </c>
      <c r="E111" s="9" t="str">
        <f>"张旋"</f>
        <v>张旋</v>
      </c>
      <c r="F111" s="9" t="str">
        <f>"20228026726"</f>
        <v>20228026726</v>
      </c>
      <c r="G111" s="10">
        <v>96.33</v>
      </c>
      <c r="H111" s="10">
        <v>104.3</v>
      </c>
      <c r="I111" s="10">
        <v>101.11</v>
      </c>
      <c r="J111" s="10"/>
      <c r="K111" s="16">
        <f t="shared" si="11"/>
        <v>101.11</v>
      </c>
      <c r="L111" s="16">
        <v>84</v>
      </c>
      <c r="M111" s="16">
        <f t="shared" si="12"/>
        <v>84.155</v>
      </c>
    </row>
    <row r="112" spans="1:13" ht="13.5" customHeight="1">
      <c r="A112" s="5">
        <v>110</v>
      </c>
      <c r="B112" s="9" t="str">
        <f>"20220214"</f>
        <v>20220214</v>
      </c>
      <c r="C112" s="9" t="s">
        <v>31</v>
      </c>
      <c r="D112" s="9" t="s">
        <v>26</v>
      </c>
      <c r="E112" s="9" t="str">
        <f>"闫岩"</f>
        <v>闫岩</v>
      </c>
      <c r="F112" s="9" t="str">
        <f>"20228025517"</f>
        <v>20228025517</v>
      </c>
      <c r="G112" s="10">
        <v>84.04</v>
      </c>
      <c r="H112" s="10">
        <v>100.7</v>
      </c>
      <c r="I112" s="10">
        <v>94.04</v>
      </c>
      <c r="J112" s="10"/>
      <c r="K112" s="16">
        <f t="shared" si="11"/>
        <v>94.04</v>
      </c>
      <c r="L112" s="16">
        <v>82.74</v>
      </c>
      <c r="M112" s="16">
        <f t="shared" si="12"/>
        <v>80.116</v>
      </c>
    </row>
    <row r="113" spans="1:13" ht="13.5" customHeight="1">
      <c r="A113" s="5">
        <v>111</v>
      </c>
      <c r="B113" s="9" t="str">
        <f aca="true" t="shared" si="21" ref="B113:B121">"20220301"</f>
        <v>20220301</v>
      </c>
      <c r="C113" s="9" t="s">
        <v>14</v>
      </c>
      <c r="D113" s="9" t="s">
        <v>32</v>
      </c>
      <c r="E113" s="9" t="str">
        <f>"邢萌萌"</f>
        <v>邢萌萌</v>
      </c>
      <c r="F113" s="9" t="str">
        <f>"20228010429"</f>
        <v>20228010429</v>
      </c>
      <c r="G113" s="10">
        <v>99.9</v>
      </c>
      <c r="H113" s="10">
        <v>96.4</v>
      </c>
      <c r="I113" s="10">
        <v>97.8</v>
      </c>
      <c r="J113" s="10"/>
      <c r="K113" s="16">
        <f t="shared" si="11"/>
        <v>97.8</v>
      </c>
      <c r="L113" s="16">
        <v>79.76</v>
      </c>
      <c r="M113" s="16">
        <f t="shared" si="12"/>
        <v>80.804</v>
      </c>
    </row>
    <row r="114" spans="1:13" ht="13.5" customHeight="1">
      <c r="A114" s="5">
        <v>112</v>
      </c>
      <c r="B114" s="9" t="str">
        <f t="shared" si="21"/>
        <v>20220301</v>
      </c>
      <c r="C114" s="9" t="s">
        <v>14</v>
      </c>
      <c r="D114" s="9" t="s">
        <v>32</v>
      </c>
      <c r="E114" s="9" t="str">
        <f>"李彩彩"</f>
        <v>李彩彩</v>
      </c>
      <c r="F114" s="9" t="str">
        <f>"20228011704"</f>
        <v>20228011704</v>
      </c>
      <c r="G114" s="10">
        <v>100.1</v>
      </c>
      <c r="H114" s="10">
        <v>96.5</v>
      </c>
      <c r="I114" s="10">
        <v>97.94</v>
      </c>
      <c r="J114" s="10"/>
      <c r="K114" s="16">
        <f t="shared" si="11"/>
        <v>97.94</v>
      </c>
      <c r="L114" s="16">
        <v>79.06</v>
      </c>
      <c r="M114" s="16">
        <f t="shared" si="12"/>
        <v>80.59400000000001</v>
      </c>
    </row>
    <row r="115" spans="1:13" ht="13.5" customHeight="1">
      <c r="A115" s="5">
        <v>113</v>
      </c>
      <c r="B115" s="9" t="str">
        <f t="shared" si="21"/>
        <v>20220301</v>
      </c>
      <c r="C115" s="9" t="s">
        <v>14</v>
      </c>
      <c r="D115" s="9" t="s">
        <v>32</v>
      </c>
      <c r="E115" s="9" t="str">
        <f>"李静静"</f>
        <v>李静静</v>
      </c>
      <c r="F115" s="9" t="str">
        <f>"20228011026"</f>
        <v>20228011026</v>
      </c>
      <c r="G115" s="10">
        <v>100</v>
      </c>
      <c r="H115" s="10">
        <v>96</v>
      </c>
      <c r="I115" s="10">
        <v>97.6</v>
      </c>
      <c r="J115" s="10"/>
      <c r="K115" s="16">
        <f t="shared" si="11"/>
        <v>97.6</v>
      </c>
      <c r="L115" s="16">
        <v>78.18</v>
      </c>
      <c r="M115" s="16">
        <f t="shared" si="12"/>
        <v>80.072</v>
      </c>
    </row>
    <row r="116" spans="1:13" ht="13.5" customHeight="1">
      <c r="A116" s="5">
        <v>114</v>
      </c>
      <c r="B116" s="9" t="str">
        <f t="shared" si="21"/>
        <v>20220301</v>
      </c>
      <c r="C116" s="9" t="s">
        <v>14</v>
      </c>
      <c r="D116" s="9" t="s">
        <v>32</v>
      </c>
      <c r="E116" s="9" t="str">
        <f>"孙影"</f>
        <v>孙影</v>
      </c>
      <c r="F116" s="9" t="str">
        <f>"20228011518"</f>
        <v>20228011518</v>
      </c>
      <c r="G116" s="10">
        <v>100.1</v>
      </c>
      <c r="H116" s="10">
        <v>92.2</v>
      </c>
      <c r="I116" s="10">
        <v>95.36</v>
      </c>
      <c r="J116" s="10"/>
      <c r="K116" s="16">
        <f t="shared" si="11"/>
        <v>95.36</v>
      </c>
      <c r="L116" s="16">
        <v>80.7</v>
      </c>
      <c r="M116" s="16">
        <f t="shared" si="12"/>
        <v>79.96000000000001</v>
      </c>
    </row>
    <row r="117" spans="1:13" ht="13.5" customHeight="1">
      <c r="A117" s="5">
        <v>115</v>
      </c>
      <c r="B117" s="9" t="str">
        <f t="shared" si="21"/>
        <v>20220301</v>
      </c>
      <c r="C117" s="9" t="s">
        <v>14</v>
      </c>
      <c r="D117" s="9" t="s">
        <v>32</v>
      </c>
      <c r="E117" s="9" t="str">
        <f>"程馨语"</f>
        <v>程馨语</v>
      </c>
      <c r="F117" s="9" t="str">
        <f>"20228011605"</f>
        <v>20228011605</v>
      </c>
      <c r="G117" s="10">
        <v>106.1</v>
      </c>
      <c r="H117" s="10">
        <v>90.4</v>
      </c>
      <c r="I117" s="10">
        <v>96.68</v>
      </c>
      <c r="J117" s="10"/>
      <c r="K117" s="16">
        <f t="shared" si="11"/>
        <v>96.68</v>
      </c>
      <c r="L117" s="16">
        <v>78.46</v>
      </c>
      <c r="M117" s="16">
        <f t="shared" si="12"/>
        <v>79.724</v>
      </c>
    </row>
    <row r="118" spans="1:13" ht="13.5" customHeight="1">
      <c r="A118" s="5">
        <v>116</v>
      </c>
      <c r="B118" s="9" t="str">
        <f t="shared" si="21"/>
        <v>20220301</v>
      </c>
      <c r="C118" s="9" t="s">
        <v>14</v>
      </c>
      <c r="D118" s="9" t="s">
        <v>32</v>
      </c>
      <c r="E118" s="9" t="str">
        <f>"罗小玲"</f>
        <v>罗小玲</v>
      </c>
      <c r="F118" s="9" t="str">
        <f>"20228011322"</f>
        <v>20228011322</v>
      </c>
      <c r="G118" s="10">
        <v>104</v>
      </c>
      <c r="H118" s="10">
        <v>91.8</v>
      </c>
      <c r="I118" s="10">
        <v>96.68</v>
      </c>
      <c r="J118" s="10"/>
      <c r="K118" s="16">
        <f t="shared" si="11"/>
        <v>96.68</v>
      </c>
      <c r="L118" s="16">
        <v>78.04</v>
      </c>
      <c r="M118" s="16">
        <f t="shared" si="12"/>
        <v>79.55600000000001</v>
      </c>
    </row>
    <row r="119" spans="1:13" ht="13.5" customHeight="1">
      <c r="A119" s="5">
        <v>117</v>
      </c>
      <c r="B119" s="9" t="str">
        <f t="shared" si="21"/>
        <v>20220301</v>
      </c>
      <c r="C119" s="9" t="s">
        <v>14</v>
      </c>
      <c r="D119" s="9" t="s">
        <v>32</v>
      </c>
      <c r="E119" s="9" t="str">
        <f>"王静"</f>
        <v>王静</v>
      </c>
      <c r="F119" s="9" t="str">
        <f>"20228011013"</f>
        <v>20228011013</v>
      </c>
      <c r="G119" s="10">
        <v>99.7</v>
      </c>
      <c r="H119" s="10">
        <v>93.9</v>
      </c>
      <c r="I119" s="10">
        <v>96.22</v>
      </c>
      <c r="J119" s="10"/>
      <c r="K119" s="16">
        <f t="shared" si="11"/>
        <v>96.22</v>
      </c>
      <c r="L119" s="16">
        <v>78.52</v>
      </c>
      <c r="M119" s="16">
        <f t="shared" si="12"/>
        <v>79.518</v>
      </c>
    </row>
    <row r="120" spans="1:13" ht="13.5" customHeight="1">
      <c r="A120" s="5">
        <v>118</v>
      </c>
      <c r="B120" s="9" t="str">
        <f t="shared" si="21"/>
        <v>20220301</v>
      </c>
      <c r="C120" s="9" t="s">
        <v>14</v>
      </c>
      <c r="D120" s="9" t="s">
        <v>32</v>
      </c>
      <c r="E120" s="9" t="str">
        <f>"李宋宋"</f>
        <v>李宋宋</v>
      </c>
      <c r="F120" s="9" t="str">
        <f>"20228010211"</f>
        <v>20228010211</v>
      </c>
      <c r="G120" s="10">
        <v>97.7</v>
      </c>
      <c r="H120" s="10">
        <v>94.4</v>
      </c>
      <c r="I120" s="10">
        <v>95.72</v>
      </c>
      <c r="J120" s="10"/>
      <c r="K120" s="16">
        <f t="shared" si="11"/>
        <v>95.72</v>
      </c>
      <c r="L120" s="16">
        <v>77.24</v>
      </c>
      <c r="M120" s="16">
        <f t="shared" si="12"/>
        <v>78.756</v>
      </c>
    </row>
    <row r="121" spans="1:13" ht="13.5" customHeight="1">
      <c r="A121" s="5">
        <v>119</v>
      </c>
      <c r="B121" s="9" t="str">
        <f t="shared" si="21"/>
        <v>20220301</v>
      </c>
      <c r="C121" s="9" t="s">
        <v>14</v>
      </c>
      <c r="D121" s="9" t="s">
        <v>32</v>
      </c>
      <c r="E121" s="9" t="str">
        <f>"张颖"</f>
        <v>张颖</v>
      </c>
      <c r="F121" s="9" t="str">
        <f>"20228011309"</f>
        <v>20228011309</v>
      </c>
      <c r="G121" s="10">
        <v>105.5</v>
      </c>
      <c r="H121" s="10">
        <v>89.2</v>
      </c>
      <c r="I121" s="10">
        <v>95.72</v>
      </c>
      <c r="J121" s="10"/>
      <c r="K121" s="16">
        <f t="shared" si="11"/>
        <v>95.72</v>
      </c>
      <c r="L121" s="16">
        <v>76</v>
      </c>
      <c r="M121" s="16">
        <f t="shared" si="12"/>
        <v>78.26</v>
      </c>
    </row>
    <row r="122" spans="1:13" s="1" customFormat="1" ht="13.5" customHeight="1">
      <c r="A122" s="5">
        <v>120</v>
      </c>
      <c r="B122" s="9" t="str">
        <f aca="true" t="shared" si="22" ref="B122:B130">"20220302"</f>
        <v>20220302</v>
      </c>
      <c r="C122" s="9" t="s">
        <v>14</v>
      </c>
      <c r="D122" s="9" t="s">
        <v>32</v>
      </c>
      <c r="E122" s="9" t="str">
        <f>"李淼淼"</f>
        <v>李淼淼</v>
      </c>
      <c r="F122" s="9" t="str">
        <f>"20228013007"</f>
        <v>20228013007</v>
      </c>
      <c r="G122" s="10">
        <v>107.2</v>
      </c>
      <c r="H122" s="10">
        <v>94.3</v>
      </c>
      <c r="I122" s="10">
        <v>99.46</v>
      </c>
      <c r="J122" s="10"/>
      <c r="K122" s="16">
        <f t="shared" si="11"/>
        <v>99.46</v>
      </c>
      <c r="L122" s="16">
        <v>79.94</v>
      </c>
      <c r="M122" s="16">
        <f t="shared" si="12"/>
        <v>81.70599999999999</v>
      </c>
    </row>
    <row r="123" spans="1:13" ht="13.5" customHeight="1">
      <c r="A123" s="5">
        <v>121</v>
      </c>
      <c r="B123" s="9" t="str">
        <f t="shared" si="22"/>
        <v>20220302</v>
      </c>
      <c r="C123" s="9" t="s">
        <v>14</v>
      </c>
      <c r="D123" s="9" t="s">
        <v>32</v>
      </c>
      <c r="E123" s="9" t="str">
        <f>"李翠婷"</f>
        <v>李翠婷</v>
      </c>
      <c r="F123" s="9" t="str">
        <f>"20228013101"</f>
        <v>20228013101</v>
      </c>
      <c r="G123" s="10">
        <v>103.1</v>
      </c>
      <c r="H123" s="10">
        <v>95.9</v>
      </c>
      <c r="I123" s="10">
        <v>98.78</v>
      </c>
      <c r="J123" s="10"/>
      <c r="K123" s="16">
        <f t="shared" si="11"/>
        <v>98.78</v>
      </c>
      <c r="L123" s="16">
        <v>80.28</v>
      </c>
      <c r="M123" s="16">
        <f t="shared" si="12"/>
        <v>81.50200000000001</v>
      </c>
    </row>
    <row r="124" spans="1:13" ht="13.5" customHeight="1">
      <c r="A124" s="5">
        <v>122</v>
      </c>
      <c r="B124" s="9" t="str">
        <f t="shared" si="22"/>
        <v>20220302</v>
      </c>
      <c r="C124" s="9" t="s">
        <v>14</v>
      </c>
      <c r="D124" s="9" t="s">
        <v>32</v>
      </c>
      <c r="E124" s="9" t="str">
        <f>"信晓莉"</f>
        <v>信晓莉</v>
      </c>
      <c r="F124" s="9" t="str">
        <f>"20228013318"</f>
        <v>20228013318</v>
      </c>
      <c r="G124" s="10">
        <v>96.7</v>
      </c>
      <c r="H124" s="10">
        <v>94.3</v>
      </c>
      <c r="I124" s="10">
        <v>95.26</v>
      </c>
      <c r="J124" s="10"/>
      <c r="K124" s="16">
        <f t="shared" si="11"/>
        <v>95.26</v>
      </c>
      <c r="L124" s="16">
        <v>83.9</v>
      </c>
      <c r="M124" s="16">
        <f t="shared" si="12"/>
        <v>81.19</v>
      </c>
    </row>
    <row r="125" spans="1:13" ht="13.5" customHeight="1">
      <c r="A125" s="5">
        <v>123</v>
      </c>
      <c r="B125" s="9" t="str">
        <f t="shared" si="22"/>
        <v>20220302</v>
      </c>
      <c r="C125" s="9" t="s">
        <v>14</v>
      </c>
      <c r="D125" s="9" t="s">
        <v>32</v>
      </c>
      <c r="E125" s="9" t="str">
        <f>"郭英杰"</f>
        <v>郭英杰</v>
      </c>
      <c r="F125" s="9" t="str">
        <f>"20228012604"</f>
        <v>20228012604</v>
      </c>
      <c r="G125" s="10">
        <v>98.9</v>
      </c>
      <c r="H125" s="10">
        <v>92.9</v>
      </c>
      <c r="I125" s="10">
        <v>95.3</v>
      </c>
      <c r="J125" s="10"/>
      <c r="K125" s="16">
        <f t="shared" si="11"/>
        <v>95.3</v>
      </c>
      <c r="L125" s="16">
        <v>83.36</v>
      </c>
      <c r="M125" s="16">
        <f t="shared" si="12"/>
        <v>80.994</v>
      </c>
    </row>
    <row r="126" spans="1:13" ht="13.5" customHeight="1">
      <c r="A126" s="5">
        <v>124</v>
      </c>
      <c r="B126" s="9" t="str">
        <f t="shared" si="22"/>
        <v>20220302</v>
      </c>
      <c r="C126" s="9" t="s">
        <v>14</v>
      </c>
      <c r="D126" s="9" t="s">
        <v>32</v>
      </c>
      <c r="E126" s="9" t="str">
        <f>"盛倩雯"</f>
        <v>盛倩雯</v>
      </c>
      <c r="F126" s="9" t="str">
        <f>"20228012904"</f>
        <v>20228012904</v>
      </c>
      <c r="G126" s="10">
        <v>102.5</v>
      </c>
      <c r="H126" s="10">
        <v>92.4</v>
      </c>
      <c r="I126" s="10">
        <v>96.44</v>
      </c>
      <c r="J126" s="10"/>
      <c r="K126" s="16">
        <f t="shared" si="11"/>
        <v>96.44</v>
      </c>
      <c r="L126" s="16">
        <v>81.08</v>
      </c>
      <c r="M126" s="16">
        <f t="shared" si="12"/>
        <v>80.65200000000002</v>
      </c>
    </row>
    <row r="127" spans="1:13" ht="13.5" customHeight="1">
      <c r="A127" s="5">
        <v>125</v>
      </c>
      <c r="B127" s="9" t="str">
        <f t="shared" si="22"/>
        <v>20220302</v>
      </c>
      <c r="C127" s="9" t="s">
        <v>14</v>
      </c>
      <c r="D127" s="9" t="s">
        <v>32</v>
      </c>
      <c r="E127" s="9" t="str">
        <f>"盛雨晨"</f>
        <v>盛雨晨</v>
      </c>
      <c r="F127" s="9" t="str">
        <f>"20228012005"</f>
        <v>20228012005</v>
      </c>
      <c r="G127" s="10">
        <v>101.7</v>
      </c>
      <c r="H127" s="10">
        <v>94.7</v>
      </c>
      <c r="I127" s="10">
        <v>97.5</v>
      </c>
      <c r="J127" s="10"/>
      <c r="K127" s="16">
        <f t="shared" si="11"/>
        <v>97.5</v>
      </c>
      <c r="L127" s="16">
        <v>79.52</v>
      </c>
      <c r="M127" s="16">
        <f t="shared" si="12"/>
        <v>80.55799999999999</v>
      </c>
    </row>
    <row r="128" spans="1:13" ht="13.5" customHeight="1">
      <c r="A128" s="5">
        <v>126</v>
      </c>
      <c r="B128" s="9" t="str">
        <f t="shared" si="22"/>
        <v>20220302</v>
      </c>
      <c r="C128" s="9" t="s">
        <v>14</v>
      </c>
      <c r="D128" s="9" t="s">
        <v>32</v>
      </c>
      <c r="E128" s="9" t="str">
        <f>"马翌翾"</f>
        <v>马翌翾</v>
      </c>
      <c r="F128" s="9" t="str">
        <f>"20228013324"</f>
        <v>20228013324</v>
      </c>
      <c r="G128" s="10">
        <v>103.6</v>
      </c>
      <c r="H128" s="10">
        <v>89.7</v>
      </c>
      <c r="I128" s="10">
        <v>95.26</v>
      </c>
      <c r="J128" s="10"/>
      <c r="K128" s="16">
        <f t="shared" si="11"/>
        <v>95.26</v>
      </c>
      <c r="L128" s="16">
        <v>82.12</v>
      </c>
      <c r="M128" s="16">
        <f t="shared" si="12"/>
        <v>80.47800000000001</v>
      </c>
    </row>
    <row r="129" spans="1:13" s="1" customFormat="1" ht="13.5" customHeight="1">
      <c r="A129" s="5">
        <v>127</v>
      </c>
      <c r="B129" s="9" t="str">
        <f t="shared" si="22"/>
        <v>20220302</v>
      </c>
      <c r="C129" s="9" t="s">
        <v>14</v>
      </c>
      <c r="D129" s="9" t="s">
        <v>32</v>
      </c>
      <c r="E129" s="9" t="str">
        <f>"费霏"</f>
        <v>费霏</v>
      </c>
      <c r="F129" s="9" t="str">
        <f>"20228013212"</f>
        <v>20228013212</v>
      </c>
      <c r="G129" s="10">
        <v>95.9</v>
      </c>
      <c r="H129" s="10">
        <v>96.2</v>
      </c>
      <c r="I129" s="10">
        <v>96.08</v>
      </c>
      <c r="J129" s="10"/>
      <c r="K129" s="16">
        <f t="shared" si="11"/>
        <v>96.08</v>
      </c>
      <c r="L129" s="16">
        <v>80.4</v>
      </c>
      <c r="M129" s="16">
        <f t="shared" si="12"/>
        <v>80.2</v>
      </c>
    </row>
    <row r="130" spans="1:13" s="1" customFormat="1" ht="13.5" customHeight="1">
      <c r="A130" s="5">
        <v>128</v>
      </c>
      <c r="B130" s="9" t="str">
        <f t="shared" si="22"/>
        <v>20220302</v>
      </c>
      <c r="C130" s="9" t="s">
        <v>14</v>
      </c>
      <c r="D130" s="9" t="s">
        <v>32</v>
      </c>
      <c r="E130" s="9" t="str">
        <f>"卞文心"</f>
        <v>卞文心</v>
      </c>
      <c r="F130" s="9" t="str">
        <f>"20228012325"</f>
        <v>20228012325</v>
      </c>
      <c r="G130" s="10">
        <v>102.7</v>
      </c>
      <c r="H130" s="10">
        <v>91.7</v>
      </c>
      <c r="I130" s="10">
        <v>96.1</v>
      </c>
      <c r="J130" s="10"/>
      <c r="K130" s="16">
        <f t="shared" si="11"/>
        <v>96.1</v>
      </c>
      <c r="L130" s="16">
        <v>80</v>
      </c>
      <c r="M130" s="16">
        <f t="shared" si="12"/>
        <v>80.05</v>
      </c>
    </row>
    <row r="131" spans="1:13" s="1" customFormat="1" ht="13.5" customHeight="1">
      <c r="A131" s="5">
        <v>129</v>
      </c>
      <c r="B131" s="9" t="str">
        <f aca="true" t="shared" si="23" ref="B131:B144">"20220303"</f>
        <v>20220303</v>
      </c>
      <c r="C131" s="9" t="s">
        <v>16</v>
      </c>
      <c r="D131" s="9" t="s">
        <v>32</v>
      </c>
      <c r="E131" s="9" t="str">
        <f>"张霞"</f>
        <v>张霞</v>
      </c>
      <c r="F131" s="9" t="str">
        <f>"20228020128"</f>
        <v>20228020128</v>
      </c>
      <c r="G131" s="10">
        <v>100.1</v>
      </c>
      <c r="H131" s="10">
        <v>98.1</v>
      </c>
      <c r="I131" s="10">
        <v>98.9</v>
      </c>
      <c r="J131" s="10"/>
      <c r="K131" s="16">
        <f aca="true" t="shared" si="24" ref="K131:K176">I131+J131</f>
        <v>98.9</v>
      </c>
      <c r="L131" s="16">
        <v>77.08</v>
      </c>
      <c r="M131" s="16">
        <f aca="true" t="shared" si="25" ref="M131:M176">K131/1.2*0.6+L131*0.4</f>
        <v>80.28200000000001</v>
      </c>
    </row>
    <row r="132" spans="1:13" ht="13.5" customHeight="1">
      <c r="A132" s="5">
        <v>130</v>
      </c>
      <c r="B132" s="9" t="str">
        <f t="shared" si="23"/>
        <v>20220303</v>
      </c>
      <c r="C132" s="9" t="s">
        <v>16</v>
      </c>
      <c r="D132" s="9" t="s">
        <v>32</v>
      </c>
      <c r="E132" s="9" t="str">
        <f>"刘月红"</f>
        <v>刘月红</v>
      </c>
      <c r="F132" s="9" t="str">
        <f>"20228020112"</f>
        <v>20228020112</v>
      </c>
      <c r="G132" s="10">
        <v>94.6</v>
      </c>
      <c r="H132" s="10">
        <v>96</v>
      </c>
      <c r="I132" s="10">
        <v>95.44</v>
      </c>
      <c r="J132" s="10"/>
      <c r="K132" s="16">
        <f t="shared" si="24"/>
        <v>95.44</v>
      </c>
      <c r="L132" s="16">
        <v>81.4</v>
      </c>
      <c r="M132" s="16">
        <f t="shared" si="25"/>
        <v>80.28</v>
      </c>
    </row>
    <row r="133" spans="1:13" ht="13.5" customHeight="1">
      <c r="A133" s="5">
        <v>131</v>
      </c>
      <c r="B133" s="9" t="str">
        <f t="shared" si="23"/>
        <v>20220303</v>
      </c>
      <c r="C133" s="9" t="s">
        <v>16</v>
      </c>
      <c r="D133" s="9" t="s">
        <v>32</v>
      </c>
      <c r="E133" s="9" t="str">
        <f>"刘娟"</f>
        <v>刘娟</v>
      </c>
      <c r="F133" s="9" t="str">
        <f>"20228020516"</f>
        <v>20228020516</v>
      </c>
      <c r="G133" s="10">
        <v>98.1</v>
      </c>
      <c r="H133" s="10">
        <v>92.3</v>
      </c>
      <c r="I133" s="10">
        <v>94.62</v>
      </c>
      <c r="J133" s="10"/>
      <c r="K133" s="16">
        <f t="shared" si="24"/>
        <v>94.62</v>
      </c>
      <c r="L133" s="16">
        <v>80.18</v>
      </c>
      <c r="M133" s="16">
        <f t="shared" si="25"/>
        <v>79.382</v>
      </c>
    </row>
    <row r="134" spans="1:13" s="1" customFormat="1" ht="13.5" customHeight="1">
      <c r="A134" s="5">
        <v>132</v>
      </c>
      <c r="B134" s="9" t="str">
        <f t="shared" si="23"/>
        <v>20220303</v>
      </c>
      <c r="C134" s="9" t="s">
        <v>16</v>
      </c>
      <c r="D134" s="9" t="s">
        <v>32</v>
      </c>
      <c r="E134" s="9" t="str">
        <f>"巩阿倩"</f>
        <v>巩阿倩</v>
      </c>
      <c r="F134" s="9" t="str">
        <f>"20228020422"</f>
        <v>20228020422</v>
      </c>
      <c r="G134" s="10">
        <v>97</v>
      </c>
      <c r="H134" s="10">
        <v>96.7</v>
      </c>
      <c r="I134" s="10">
        <v>96.82</v>
      </c>
      <c r="J134" s="10"/>
      <c r="K134" s="16">
        <f t="shared" si="24"/>
        <v>96.82</v>
      </c>
      <c r="L134" s="16">
        <v>77.08</v>
      </c>
      <c r="M134" s="16">
        <f t="shared" si="25"/>
        <v>79.242</v>
      </c>
    </row>
    <row r="135" spans="1:13" s="1" customFormat="1" ht="13.5" customHeight="1">
      <c r="A135" s="5">
        <v>133</v>
      </c>
      <c r="B135" s="9" t="str">
        <f t="shared" si="23"/>
        <v>20220303</v>
      </c>
      <c r="C135" s="9" t="s">
        <v>16</v>
      </c>
      <c r="D135" s="9" t="s">
        <v>32</v>
      </c>
      <c r="E135" s="9" t="str">
        <f>"赵李"</f>
        <v>赵李</v>
      </c>
      <c r="F135" s="9" t="str">
        <f>"20228020613"</f>
        <v>20228020613</v>
      </c>
      <c r="G135" s="10">
        <v>97.5</v>
      </c>
      <c r="H135" s="10">
        <v>101.3</v>
      </c>
      <c r="I135" s="10">
        <v>99.78</v>
      </c>
      <c r="J135" s="10"/>
      <c r="K135" s="16">
        <f t="shared" si="24"/>
        <v>99.78</v>
      </c>
      <c r="L135" s="16">
        <v>72.76</v>
      </c>
      <c r="M135" s="16">
        <f t="shared" si="25"/>
        <v>78.994</v>
      </c>
    </row>
    <row r="136" spans="1:13" ht="13.5" customHeight="1">
      <c r="A136" s="5">
        <v>134</v>
      </c>
      <c r="B136" s="9" t="str">
        <f t="shared" si="23"/>
        <v>20220303</v>
      </c>
      <c r="C136" s="9" t="s">
        <v>16</v>
      </c>
      <c r="D136" s="9" t="s">
        <v>32</v>
      </c>
      <c r="E136" s="9" t="str">
        <f>"孙照明"</f>
        <v>孙照明</v>
      </c>
      <c r="F136" s="9" t="str">
        <f>"20228020110"</f>
        <v>20228020110</v>
      </c>
      <c r="G136" s="10">
        <v>76</v>
      </c>
      <c r="H136" s="10">
        <v>101.8</v>
      </c>
      <c r="I136" s="10">
        <v>91.48</v>
      </c>
      <c r="J136" s="10"/>
      <c r="K136" s="16">
        <f t="shared" si="24"/>
        <v>91.48</v>
      </c>
      <c r="L136" s="16">
        <v>82.5</v>
      </c>
      <c r="M136" s="16">
        <f t="shared" si="25"/>
        <v>78.74000000000001</v>
      </c>
    </row>
    <row r="137" spans="1:13" ht="13.5" customHeight="1">
      <c r="A137" s="5">
        <v>135</v>
      </c>
      <c r="B137" s="9" t="str">
        <f t="shared" si="23"/>
        <v>20220303</v>
      </c>
      <c r="C137" s="9" t="s">
        <v>16</v>
      </c>
      <c r="D137" s="9" t="s">
        <v>32</v>
      </c>
      <c r="E137" s="9" t="str">
        <f>"尚立翠"</f>
        <v>尚立翠</v>
      </c>
      <c r="F137" s="9" t="str">
        <f>"20228020502"</f>
        <v>20228020502</v>
      </c>
      <c r="G137" s="10">
        <v>99.3</v>
      </c>
      <c r="H137" s="10">
        <v>92.7</v>
      </c>
      <c r="I137" s="10">
        <v>95.34</v>
      </c>
      <c r="J137" s="10"/>
      <c r="K137" s="16">
        <f t="shared" si="24"/>
        <v>95.34</v>
      </c>
      <c r="L137" s="16">
        <v>77.2</v>
      </c>
      <c r="M137" s="16">
        <f t="shared" si="25"/>
        <v>78.55000000000001</v>
      </c>
    </row>
    <row r="138" spans="1:13" s="1" customFormat="1" ht="13.5" customHeight="1">
      <c r="A138" s="5">
        <v>136</v>
      </c>
      <c r="B138" s="9" t="str">
        <f t="shared" si="23"/>
        <v>20220303</v>
      </c>
      <c r="C138" s="9" t="s">
        <v>16</v>
      </c>
      <c r="D138" s="9" t="s">
        <v>32</v>
      </c>
      <c r="E138" s="9" t="str">
        <f>"李宇翔"</f>
        <v>李宇翔</v>
      </c>
      <c r="F138" s="9" t="str">
        <f>"20228020312"</f>
        <v>20228020312</v>
      </c>
      <c r="G138" s="10">
        <v>94.3</v>
      </c>
      <c r="H138" s="10">
        <v>99.1</v>
      </c>
      <c r="I138" s="10">
        <v>97.18</v>
      </c>
      <c r="J138" s="10"/>
      <c r="K138" s="16">
        <f t="shared" si="24"/>
        <v>97.18</v>
      </c>
      <c r="L138" s="16">
        <v>74.8</v>
      </c>
      <c r="M138" s="16">
        <f t="shared" si="25"/>
        <v>78.51000000000002</v>
      </c>
    </row>
    <row r="139" spans="1:13" ht="13.5" customHeight="1">
      <c r="A139" s="5">
        <v>137</v>
      </c>
      <c r="B139" s="9" t="str">
        <f t="shared" si="23"/>
        <v>20220303</v>
      </c>
      <c r="C139" s="9" t="s">
        <v>16</v>
      </c>
      <c r="D139" s="9" t="s">
        <v>32</v>
      </c>
      <c r="E139" s="9" t="str">
        <f>"席铭哲"</f>
        <v>席铭哲</v>
      </c>
      <c r="F139" s="9" t="str">
        <f>"20228020420"</f>
        <v>20228020420</v>
      </c>
      <c r="G139" s="10">
        <v>94.6</v>
      </c>
      <c r="H139" s="10">
        <v>96.4</v>
      </c>
      <c r="I139" s="10">
        <v>95.68</v>
      </c>
      <c r="J139" s="10"/>
      <c r="K139" s="16">
        <f t="shared" si="24"/>
        <v>95.68</v>
      </c>
      <c r="L139" s="16">
        <v>76.36</v>
      </c>
      <c r="M139" s="16">
        <f t="shared" si="25"/>
        <v>78.38400000000001</v>
      </c>
    </row>
    <row r="140" spans="1:13" ht="13.5" customHeight="1">
      <c r="A140" s="5">
        <v>138</v>
      </c>
      <c r="B140" s="9" t="str">
        <f t="shared" si="23"/>
        <v>20220303</v>
      </c>
      <c r="C140" s="9" t="s">
        <v>16</v>
      </c>
      <c r="D140" s="9" t="s">
        <v>32</v>
      </c>
      <c r="E140" s="9" t="str">
        <f>"王楠"</f>
        <v>王楠</v>
      </c>
      <c r="F140" s="9" t="str">
        <f>"20228020315"</f>
        <v>20228020315</v>
      </c>
      <c r="G140" s="10">
        <v>96.8</v>
      </c>
      <c r="H140" s="10">
        <v>99.1</v>
      </c>
      <c r="I140" s="10">
        <v>98.18</v>
      </c>
      <c r="J140" s="10"/>
      <c r="K140" s="16">
        <f t="shared" si="24"/>
        <v>98.18</v>
      </c>
      <c r="L140" s="16">
        <v>73.16</v>
      </c>
      <c r="M140" s="16">
        <f t="shared" si="25"/>
        <v>78.354</v>
      </c>
    </row>
    <row r="141" spans="1:13" ht="13.5" customHeight="1">
      <c r="A141" s="5">
        <v>139</v>
      </c>
      <c r="B141" s="9" t="str">
        <f t="shared" si="23"/>
        <v>20220303</v>
      </c>
      <c r="C141" s="9" t="s">
        <v>16</v>
      </c>
      <c r="D141" s="9" t="s">
        <v>32</v>
      </c>
      <c r="E141" s="9" t="str">
        <f>"张印"</f>
        <v>张印</v>
      </c>
      <c r="F141" s="9" t="str">
        <f>"20228020323"</f>
        <v>20228020323</v>
      </c>
      <c r="G141" s="10">
        <v>92.7</v>
      </c>
      <c r="H141" s="10">
        <v>95.3</v>
      </c>
      <c r="I141" s="10">
        <v>94.26</v>
      </c>
      <c r="J141" s="10"/>
      <c r="K141" s="16">
        <f t="shared" si="24"/>
        <v>94.26</v>
      </c>
      <c r="L141" s="16">
        <v>76.94</v>
      </c>
      <c r="M141" s="16">
        <f t="shared" si="25"/>
        <v>77.906</v>
      </c>
    </row>
    <row r="142" spans="1:13" ht="13.5" customHeight="1">
      <c r="A142" s="5">
        <v>140</v>
      </c>
      <c r="B142" s="9" t="str">
        <f t="shared" si="23"/>
        <v>20220303</v>
      </c>
      <c r="C142" s="9" t="s">
        <v>16</v>
      </c>
      <c r="D142" s="9" t="s">
        <v>32</v>
      </c>
      <c r="E142" s="9" t="str">
        <f>"孙浩"</f>
        <v>孙浩</v>
      </c>
      <c r="F142" s="9" t="str">
        <f>"20228020216"</f>
        <v>20228020216</v>
      </c>
      <c r="G142" s="10">
        <v>83.7</v>
      </c>
      <c r="H142" s="10">
        <v>98.2</v>
      </c>
      <c r="I142" s="10">
        <v>92.4</v>
      </c>
      <c r="J142" s="10"/>
      <c r="K142" s="16">
        <f t="shared" si="24"/>
        <v>92.4</v>
      </c>
      <c r="L142" s="16">
        <v>79.02</v>
      </c>
      <c r="M142" s="16">
        <f t="shared" si="25"/>
        <v>77.808</v>
      </c>
    </row>
    <row r="143" spans="1:13" ht="13.5" customHeight="1">
      <c r="A143" s="5">
        <v>141</v>
      </c>
      <c r="B143" s="9" t="str">
        <f t="shared" si="23"/>
        <v>20220303</v>
      </c>
      <c r="C143" s="9" t="s">
        <v>16</v>
      </c>
      <c r="D143" s="9" t="s">
        <v>32</v>
      </c>
      <c r="E143" s="9" t="str">
        <f>"于晓曼"</f>
        <v>于晓曼</v>
      </c>
      <c r="F143" s="9" t="str">
        <f>"20228020130"</f>
        <v>20228020130</v>
      </c>
      <c r="G143" s="10">
        <v>97.9</v>
      </c>
      <c r="H143" s="10">
        <v>89.9</v>
      </c>
      <c r="I143" s="10">
        <v>93.1</v>
      </c>
      <c r="J143" s="10"/>
      <c r="K143" s="16">
        <f t="shared" si="24"/>
        <v>93.1</v>
      </c>
      <c r="L143" s="16">
        <v>77.84</v>
      </c>
      <c r="M143" s="16">
        <f t="shared" si="25"/>
        <v>77.686</v>
      </c>
    </row>
    <row r="144" spans="1:13" ht="13.5" customHeight="1">
      <c r="A144" s="5">
        <v>142</v>
      </c>
      <c r="B144" s="9" t="str">
        <f t="shared" si="23"/>
        <v>20220303</v>
      </c>
      <c r="C144" s="9" t="s">
        <v>16</v>
      </c>
      <c r="D144" s="9" t="s">
        <v>32</v>
      </c>
      <c r="E144" s="9" t="str">
        <f>"王雪丽"</f>
        <v>王雪丽</v>
      </c>
      <c r="F144" s="9" t="str">
        <f>"20228020601"</f>
        <v>20228020601</v>
      </c>
      <c r="G144" s="10">
        <v>92.6</v>
      </c>
      <c r="H144" s="10">
        <v>93.5</v>
      </c>
      <c r="I144" s="10">
        <v>93.14</v>
      </c>
      <c r="J144" s="10"/>
      <c r="K144" s="16">
        <f t="shared" si="24"/>
        <v>93.14</v>
      </c>
      <c r="L144" s="16">
        <v>77.44</v>
      </c>
      <c r="M144" s="16">
        <f t="shared" si="25"/>
        <v>77.54599999999999</v>
      </c>
    </row>
    <row r="145" spans="1:13" ht="13.5" customHeight="1">
      <c r="A145" s="5">
        <v>143</v>
      </c>
      <c r="B145" s="9" t="str">
        <f aca="true" t="shared" si="26" ref="B145:B153">"20220304"</f>
        <v>20220304</v>
      </c>
      <c r="C145" s="9" t="s">
        <v>18</v>
      </c>
      <c r="D145" s="9" t="s">
        <v>32</v>
      </c>
      <c r="E145" s="9" t="str">
        <f>"孙月婷"</f>
        <v>孙月婷</v>
      </c>
      <c r="F145" s="9" t="str">
        <f>"20228013815"</f>
        <v>20228013815</v>
      </c>
      <c r="G145" s="10">
        <v>99.3</v>
      </c>
      <c r="H145" s="10">
        <v>106.3</v>
      </c>
      <c r="I145" s="10">
        <v>103.5</v>
      </c>
      <c r="J145" s="10"/>
      <c r="K145" s="16">
        <f t="shared" si="24"/>
        <v>103.5</v>
      </c>
      <c r="L145" s="16">
        <v>85.58</v>
      </c>
      <c r="M145" s="16">
        <f t="shared" si="25"/>
        <v>85.982</v>
      </c>
    </row>
    <row r="146" spans="1:13" ht="13.5" customHeight="1">
      <c r="A146" s="5">
        <v>144</v>
      </c>
      <c r="B146" s="9" t="str">
        <f t="shared" si="26"/>
        <v>20220304</v>
      </c>
      <c r="C146" s="9" t="s">
        <v>18</v>
      </c>
      <c r="D146" s="9" t="s">
        <v>32</v>
      </c>
      <c r="E146" s="9" t="str">
        <f>"李玉"</f>
        <v>李玉</v>
      </c>
      <c r="F146" s="9" t="str">
        <f>"20228013620"</f>
        <v>20228013620</v>
      </c>
      <c r="G146" s="10">
        <v>104.2</v>
      </c>
      <c r="H146" s="10">
        <v>102.4</v>
      </c>
      <c r="I146" s="10">
        <v>103.12</v>
      </c>
      <c r="J146" s="10"/>
      <c r="K146" s="16">
        <f t="shared" si="24"/>
        <v>103.12</v>
      </c>
      <c r="L146" s="16">
        <v>85.75</v>
      </c>
      <c r="M146" s="16">
        <f t="shared" si="25"/>
        <v>85.86000000000001</v>
      </c>
    </row>
    <row r="147" spans="1:13" ht="13.5" customHeight="1">
      <c r="A147" s="5">
        <v>145</v>
      </c>
      <c r="B147" s="9" t="str">
        <f t="shared" si="26"/>
        <v>20220304</v>
      </c>
      <c r="C147" s="9" t="s">
        <v>18</v>
      </c>
      <c r="D147" s="9" t="s">
        <v>32</v>
      </c>
      <c r="E147" s="9" t="str">
        <f>"闫梦雪"</f>
        <v>闫梦雪</v>
      </c>
      <c r="F147" s="9" t="str">
        <f>"20228013515"</f>
        <v>20228013515</v>
      </c>
      <c r="G147" s="10">
        <v>103.1</v>
      </c>
      <c r="H147" s="10">
        <v>104.8</v>
      </c>
      <c r="I147" s="10">
        <v>104.12</v>
      </c>
      <c r="J147" s="10"/>
      <c r="K147" s="16">
        <f t="shared" si="24"/>
        <v>104.12</v>
      </c>
      <c r="L147" s="16">
        <v>81.06</v>
      </c>
      <c r="M147" s="16">
        <f t="shared" si="25"/>
        <v>84.48400000000001</v>
      </c>
    </row>
    <row r="148" spans="1:13" ht="13.5" customHeight="1">
      <c r="A148" s="5">
        <v>146</v>
      </c>
      <c r="B148" s="9" t="str">
        <f t="shared" si="26"/>
        <v>20220304</v>
      </c>
      <c r="C148" s="9" t="s">
        <v>18</v>
      </c>
      <c r="D148" s="9" t="s">
        <v>32</v>
      </c>
      <c r="E148" s="9" t="str">
        <f>"武孟雨"</f>
        <v>武孟雨</v>
      </c>
      <c r="F148" s="9" t="str">
        <f>"20228014025"</f>
        <v>20228014025</v>
      </c>
      <c r="G148" s="10">
        <v>102.9</v>
      </c>
      <c r="H148" s="10">
        <v>100.2</v>
      </c>
      <c r="I148" s="10">
        <v>101.28</v>
      </c>
      <c r="J148" s="10"/>
      <c r="K148" s="16">
        <f t="shared" si="24"/>
        <v>101.28</v>
      </c>
      <c r="L148" s="16">
        <v>83.54</v>
      </c>
      <c r="M148" s="16">
        <f t="shared" si="25"/>
        <v>84.05600000000001</v>
      </c>
    </row>
    <row r="149" spans="1:13" ht="13.5" customHeight="1">
      <c r="A149" s="5">
        <v>147</v>
      </c>
      <c r="B149" s="9" t="str">
        <f t="shared" si="26"/>
        <v>20220304</v>
      </c>
      <c r="C149" s="9" t="s">
        <v>18</v>
      </c>
      <c r="D149" s="9" t="s">
        <v>32</v>
      </c>
      <c r="E149" s="9" t="str">
        <f>"张会"</f>
        <v>张会</v>
      </c>
      <c r="F149" s="9" t="str">
        <f>"20228014125"</f>
        <v>20228014125</v>
      </c>
      <c r="G149" s="10">
        <v>100.8</v>
      </c>
      <c r="H149" s="10">
        <v>99.5</v>
      </c>
      <c r="I149" s="10">
        <v>100.02</v>
      </c>
      <c r="J149" s="10"/>
      <c r="K149" s="16">
        <f t="shared" si="24"/>
        <v>100.02</v>
      </c>
      <c r="L149" s="16">
        <v>85.09</v>
      </c>
      <c r="M149" s="16">
        <f t="shared" si="25"/>
        <v>84.04599999999999</v>
      </c>
    </row>
    <row r="150" spans="1:13" ht="13.5" customHeight="1">
      <c r="A150" s="5">
        <v>148</v>
      </c>
      <c r="B150" s="9" t="str">
        <f t="shared" si="26"/>
        <v>20220304</v>
      </c>
      <c r="C150" s="9" t="s">
        <v>18</v>
      </c>
      <c r="D150" s="9" t="s">
        <v>32</v>
      </c>
      <c r="E150" s="9" t="str">
        <f>"姜允芬"</f>
        <v>姜允芬</v>
      </c>
      <c r="F150" s="9" t="str">
        <f>"20228013630"</f>
        <v>20228013630</v>
      </c>
      <c r="G150" s="10">
        <v>102.4</v>
      </c>
      <c r="H150" s="10">
        <v>99.9</v>
      </c>
      <c r="I150" s="10">
        <v>100.9</v>
      </c>
      <c r="J150" s="10"/>
      <c r="K150" s="16">
        <f t="shared" si="24"/>
        <v>100.9</v>
      </c>
      <c r="L150" s="16">
        <v>82.62</v>
      </c>
      <c r="M150" s="16">
        <f t="shared" si="25"/>
        <v>83.498</v>
      </c>
    </row>
    <row r="151" spans="1:13" ht="13.5" customHeight="1">
      <c r="A151" s="5">
        <v>149</v>
      </c>
      <c r="B151" s="9" t="str">
        <f t="shared" si="26"/>
        <v>20220304</v>
      </c>
      <c r="C151" s="9" t="s">
        <v>18</v>
      </c>
      <c r="D151" s="9" t="s">
        <v>32</v>
      </c>
      <c r="E151" s="9" t="str">
        <f>"朱玉"</f>
        <v>朱玉</v>
      </c>
      <c r="F151" s="9" t="str">
        <f>"20228013707"</f>
        <v>20228013707</v>
      </c>
      <c r="G151" s="10">
        <v>101.3</v>
      </c>
      <c r="H151" s="10">
        <v>95.4</v>
      </c>
      <c r="I151" s="10">
        <v>97.76</v>
      </c>
      <c r="J151" s="10"/>
      <c r="K151" s="16">
        <f t="shared" si="24"/>
        <v>97.76</v>
      </c>
      <c r="L151" s="16">
        <v>85.05</v>
      </c>
      <c r="M151" s="16">
        <f t="shared" si="25"/>
        <v>82.9</v>
      </c>
    </row>
    <row r="152" spans="1:13" ht="13.5" customHeight="1">
      <c r="A152" s="5">
        <v>150</v>
      </c>
      <c r="B152" s="9" t="str">
        <f t="shared" si="26"/>
        <v>20220304</v>
      </c>
      <c r="C152" s="9" t="s">
        <v>18</v>
      </c>
      <c r="D152" s="9" t="s">
        <v>32</v>
      </c>
      <c r="E152" s="9" t="str">
        <f>"王会会"</f>
        <v>王会会</v>
      </c>
      <c r="F152" s="9" t="str">
        <f>"20228013613"</f>
        <v>20228013613</v>
      </c>
      <c r="G152" s="10">
        <v>105.5</v>
      </c>
      <c r="H152" s="10">
        <v>99.4</v>
      </c>
      <c r="I152" s="10">
        <v>101.84</v>
      </c>
      <c r="J152" s="10"/>
      <c r="K152" s="16">
        <f t="shared" si="24"/>
        <v>101.84</v>
      </c>
      <c r="L152" s="16">
        <v>79.41</v>
      </c>
      <c r="M152" s="16">
        <f t="shared" si="25"/>
        <v>82.684</v>
      </c>
    </row>
    <row r="153" spans="1:13" ht="13.5" customHeight="1">
      <c r="A153" s="5">
        <v>151</v>
      </c>
      <c r="B153" s="9" t="str">
        <f t="shared" si="26"/>
        <v>20220304</v>
      </c>
      <c r="C153" s="9" t="s">
        <v>18</v>
      </c>
      <c r="D153" s="9" t="s">
        <v>32</v>
      </c>
      <c r="E153" s="9" t="str">
        <f>"陈佳"</f>
        <v>陈佳</v>
      </c>
      <c r="F153" s="9" t="str">
        <f>"20228013822"</f>
        <v>20228013822</v>
      </c>
      <c r="G153" s="10">
        <v>107</v>
      </c>
      <c r="H153" s="10">
        <v>93.3</v>
      </c>
      <c r="I153" s="10">
        <v>98.78</v>
      </c>
      <c r="J153" s="10"/>
      <c r="K153" s="16">
        <f t="shared" si="24"/>
        <v>98.78</v>
      </c>
      <c r="L153" s="16">
        <v>81.92</v>
      </c>
      <c r="M153" s="16">
        <f t="shared" si="25"/>
        <v>82.15800000000002</v>
      </c>
    </row>
    <row r="154" spans="1:13" ht="13.5" customHeight="1">
      <c r="A154" s="5">
        <v>152</v>
      </c>
      <c r="B154" s="9" t="str">
        <f aca="true" t="shared" si="27" ref="B154:B157">"20220305"</f>
        <v>20220305</v>
      </c>
      <c r="C154" s="9" t="s">
        <v>29</v>
      </c>
      <c r="D154" s="9" t="s">
        <v>32</v>
      </c>
      <c r="E154" s="9" t="str">
        <f>"闫少峰"</f>
        <v>闫少峰</v>
      </c>
      <c r="F154" s="9" t="str">
        <f>"20228020826"</f>
        <v>20228020826</v>
      </c>
      <c r="G154" s="10">
        <v>96.2</v>
      </c>
      <c r="H154" s="10">
        <v>103.7</v>
      </c>
      <c r="I154" s="10">
        <v>100.7</v>
      </c>
      <c r="J154" s="10"/>
      <c r="K154" s="16">
        <f t="shared" si="24"/>
        <v>100.7</v>
      </c>
      <c r="L154" s="16">
        <v>80.9</v>
      </c>
      <c r="M154" s="16">
        <f t="shared" si="25"/>
        <v>82.71000000000001</v>
      </c>
    </row>
    <row r="155" spans="1:13" ht="13.5" customHeight="1">
      <c r="A155" s="5">
        <v>153</v>
      </c>
      <c r="B155" s="9" t="str">
        <f t="shared" si="27"/>
        <v>20220305</v>
      </c>
      <c r="C155" s="9" t="s">
        <v>29</v>
      </c>
      <c r="D155" s="9" t="s">
        <v>32</v>
      </c>
      <c r="E155" s="9" t="str">
        <f>"孙晓奇"</f>
        <v>孙晓奇</v>
      </c>
      <c r="F155" s="9" t="str">
        <f>"20228020813"</f>
        <v>20228020813</v>
      </c>
      <c r="G155" s="10">
        <v>94.2</v>
      </c>
      <c r="H155" s="10">
        <v>104</v>
      </c>
      <c r="I155" s="10">
        <v>100.08</v>
      </c>
      <c r="J155" s="10"/>
      <c r="K155" s="16">
        <f t="shared" si="24"/>
        <v>100.08</v>
      </c>
      <c r="L155" s="16">
        <v>81.6</v>
      </c>
      <c r="M155" s="16">
        <f t="shared" si="25"/>
        <v>82.68</v>
      </c>
    </row>
    <row r="156" spans="1:13" ht="13.5" customHeight="1">
      <c r="A156" s="5">
        <v>154</v>
      </c>
      <c r="B156" s="9" t="str">
        <f t="shared" si="27"/>
        <v>20220305</v>
      </c>
      <c r="C156" s="9" t="s">
        <v>29</v>
      </c>
      <c r="D156" s="9" t="s">
        <v>32</v>
      </c>
      <c r="E156" s="9" t="str">
        <f>"何曦璇"</f>
        <v>何曦璇</v>
      </c>
      <c r="F156" s="9" t="str">
        <f>"20228020910"</f>
        <v>20228020910</v>
      </c>
      <c r="G156" s="10">
        <v>91.3</v>
      </c>
      <c r="H156" s="10">
        <v>100.5</v>
      </c>
      <c r="I156" s="10">
        <v>96.82</v>
      </c>
      <c r="J156" s="10"/>
      <c r="K156" s="16">
        <f t="shared" si="24"/>
        <v>96.82</v>
      </c>
      <c r="L156" s="16">
        <v>85.5</v>
      </c>
      <c r="M156" s="16">
        <f t="shared" si="25"/>
        <v>82.61000000000001</v>
      </c>
    </row>
    <row r="157" spans="1:13" ht="13.5" customHeight="1">
      <c r="A157" s="5">
        <v>155</v>
      </c>
      <c r="B157" s="9" t="str">
        <f t="shared" si="27"/>
        <v>20220305</v>
      </c>
      <c r="C157" s="9" t="s">
        <v>29</v>
      </c>
      <c r="D157" s="9" t="s">
        <v>32</v>
      </c>
      <c r="E157" s="9" t="str">
        <f>"张振业"</f>
        <v>张振业</v>
      </c>
      <c r="F157" s="9" t="str">
        <f>"20228020918"</f>
        <v>20228020918</v>
      </c>
      <c r="G157" s="10">
        <v>89.5</v>
      </c>
      <c r="H157" s="10">
        <v>98.1</v>
      </c>
      <c r="I157" s="10">
        <v>94.66</v>
      </c>
      <c r="J157" s="10"/>
      <c r="K157" s="16">
        <f t="shared" si="24"/>
        <v>94.66</v>
      </c>
      <c r="L157" s="16">
        <v>88.2</v>
      </c>
      <c r="M157" s="16">
        <f t="shared" si="25"/>
        <v>82.61000000000001</v>
      </c>
    </row>
    <row r="158" spans="1:13" ht="13.5" customHeight="1">
      <c r="A158" s="5">
        <v>156</v>
      </c>
      <c r="B158" s="9" t="str">
        <f aca="true" t="shared" si="28" ref="B158:B164">"20220306"</f>
        <v>20220306</v>
      </c>
      <c r="C158" s="9" t="s">
        <v>25</v>
      </c>
      <c r="D158" s="9" t="s">
        <v>32</v>
      </c>
      <c r="E158" s="9" t="str">
        <f>"杨治国"</f>
        <v>杨治国</v>
      </c>
      <c r="F158" s="9" t="str">
        <f>"20228021122"</f>
        <v>20228021122</v>
      </c>
      <c r="G158" s="10">
        <v>97.8</v>
      </c>
      <c r="H158" s="10">
        <v>100.1</v>
      </c>
      <c r="I158" s="10">
        <v>99.18</v>
      </c>
      <c r="J158" s="10">
        <v>2</v>
      </c>
      <c r="K158" s="16">
        <f t="shared" si="24"/>
        <v>101.18</v>
      </c>
      <c r="L158" s="16">
        <v>79.6</v>
      </c>
      <c r="M158" s="16">
        <f t="shared" si="25"/>
        <v>82.43</v>
      </c>
    </row>
    <row r="159" spans="1:13" ht="13.5" customHeight="1">
      <c r="A159" s="5">
        <v>157</v>
      </c>
      <c r="B159" s="9" t="str">
        <f t="shared" si="28"/>
        <v>20220306</v>
      </c>
      <c r="C159" s="9" t="s">
        <v>25</v>
      </c>
      <c r="D159" s="9" t="s">
        <v>32</v>
      </c>
      <c r="E159" s="9" t="str">
        <f>"马志伟"</f>
        <v>马志伟</v>
      </c>
      <c r="F159" s="9" t="str">
        <f>"20228021103"</f>
        <v>20228021103</v>
      </c>
      <c r="G159" s="10">
        <v>95.8</v>
      </c>
      <c r="H159" s="10">
        <v>94.1</v>
      </c>
      <c r="I159" s="10">
        <v>94.78</v>
      </c>
      <c r="J159" s="10"/>
      <c r="K159" s="16">
        <f t="shared" si="24"/>
        <v>94.78</v>
      </c>
      <c r="L159" s="16">
        <v>84.9</v>
      </c>
      <c r="M159" s="16">
        <f t="shared" si="25"/>
        <v>81.35</v>
      </c>
    </row>
    <row r="160" spans="1:13" ht="13.5" customHeight="1">
      <c r="A160" s="5">
        <v>158</v>
      </c>
      <c r="B160" s="9" t="str">
        <f t="shared" si="28"/>
        <v>20220306</v>
      </c>
      <c r="C160" s="9" t="s">
        <v>25</v>
      </c>
      <c r="D160" s="9" t="s">
        <v>32</v>
      </c>
      <c r="E160" s="9" t="str">
        <f>"栾则志"</f>
        <v>栾则志</v>
      </c>
      <c r="F160" s="9" t="str">
        <f>"20228021027"</f>
        <v>20228021027</v>
      </c>
      <c r="G160" s="10">
        <v>91.8</v>
      </c>
      <c r="H160" s="10">
        <v>100.2</v>
      </c>
      <c r="I160" s="10">
        <v>96.84</v>
      </c>
      <c r="J160" s="10"/>
      <c r="K160" s="16">
        <f t="shared" si="24"/>
        <v>96.84</v>
      </c>
      <c r="L160" s="16">
        <v>82.2</v>
      </c>
      <c r="M160" s="16">
        <f t="shared" si="25"/>
        <v>81.30000000000001</v>
      </c>
    </row>
    <row r="161" spans="1:13" ht="13.5" customHeight="1">
      <c r="A161" s="5">
        <v>159</v>
      </c>
      <c r="B161" s="9" t="str">
        <f t="shared" si="28"/>
        <v>20220306</v>
      </c>
      <c r="C161" s="9" t="s">
        <v>25</v>
      </c>
      <c r="D161" s="9" t="s">
        <v>32</v>
      </c>
      <c r="E161" s="9" t="str">
        <f>"胡虎森"</f>
        <v>胡虎森</v>
      </c>
      <c r="F161" s="9" t="str">
        <f>"20228020922"</f>
        <v>20228020922</v>
      </c>
      <c r="G161" s="10">
        <v>85.3</v>
      </c>
      <c r="H161" s="10">
        <v>99.1</v>
      </c>
      <c r="I161" s="10">
        <v>93.58</v>
      </c>
      <c r="J161" s="10"/>
      <c r="K161" s="16">
        <f t="shared" si="24"/>
        <v>93.58</v>
      </c>
      <c r="L161" s="16">
        <v>83.8</v>
      </c>
      <c r="M161" s="16">
        <f t="shared" si="25"/>
        <v>80.31</v>
      </c>
    </row>
    <row r="162" spans="1:13" ht="13.5" customHeight="1">
      <c r="A162" s="5">
        <v>160</v>
      </c>
      <c r="B162" s="9" t="str">
        <f t="shared" si="28"/>
        <v>20220306</v>
      </c>
      <c r="C162" s="9" t="s">
        <v>25</v>
      </c>
      <c r="D162" s="9" t="s">
        <v>32</v>
      </c>
      <c r="E162" s="9" t="str">
        <f>"王晓丹"</f>
        <v>王晓丹</v>
      </c>
      <c r="F162" s="9" t="str">
        <f>"20228021006"</f>
        <v>20228021006</v>
      </c>
      <c r="G162" s="10">
        <v>88.9</v>
      </c>
      <c r="H162" s="10">
        <v>95.2</v>
      </c>
      <c r="I162" s="10">
        <v>92.68</v>
      </c>
      <c r="J162" s="10"/>
      <c r="K162" s="16">
        <f t="shared" si="24"/>
        <v>92.68</v>
      </c>
      <c r="L162" s="16">
        <v>83.6</v>
      </c>
      <c r="M162" s="16">
        <f t="shared" si="25"/>
        <v>79.78</v>
      </c>
    </row>
    <row r="163" spans="1:13" ht="13.5" customHeight="1">
      <c r="A163" s="5">
        <v>161</v>
      </c>
      <c r="B163" s="9" t="str">
        <f t="shared" si="28"/>
        <v>20220306</v>
      </c>
      <c r="C163" s="9" t="s">
        <v>25</v>
      </c>
      <c r="D163" s="9" t="s">
        <v>32</v>
      </c>
      <c r="E163" s="9" t="str">
        <f>"张鹏"</f>
        <v>张鹏</v>
      </c>
      <c r="F163" s="9" t="str">
        <f>"20228021115"</f>
        <v>20228021115</v>
      </c>
      <c r="G163" s="10">
        <v>89.3</v>
      </c>
      <c r="H163" s="10">
        <v>94.5</v>
      </c>
      <c r="I163" s="10">
        <v>92.42</v>
      </c>
      <c r="J163" s="10"/>
      <c r="K163" s="16">
        <f t="shared" si="24"/>
        <v>92.42</v>
      </c>
      <c r="L163" s="16">
        <v>82</v>
      </c>
      <c r="M163" s="16">
        <f t="shared" si="25"/>
        <v>79.01</v>
      </c>
    </row>
    <row r="164" spans="1:13" ht="13.5" customHeight="1">
      <c r="A164" s="5">
        <v>162</v>
      </c>
      <c r="B164" s="9" t="str">
        <f t="shared" si="28"/>
        <v>20220306</v>
      </c>
      <c r="C164" s="9" t="s">
        <v>25</v>
      </c>
      <c r="D164" s="9" t="s">
        <v>32</v>
      </c>
      <c r="E164" s="9" t="str">
        <f>"李慧芬"</f>
        <v>李慧芬</v>
      </c>
      <c r="F164" s="9" t="str">
        <f>"20228021128"</f>
        <v>20228021128</v>
      </c>
      <c r="G164" s="10">
        <v>89.5</v>
      </c>
      <c r="H164" s="10">
        <v>91.6</v>
      </c>
      <c r="I164" s="10">
        <v>90.76</v>
      </c>
      <c r="J164" s="10"/>
      <c r="K164" s="16">
        <f t="shared" si="24"/>
        <v>90.76</v>
      </c>
      <c r="L164" s="16">
        <v>82.4</v>
      </c>
      <c r="M164" s="16">
        <f t="shared" si="25"/>
        <v>78.34</v>
      </c>
    </row>
    <row r="165" spans="1:13" ht="13.5" customHeight="1">
      <c r="A165" s="5">
        <v>163</v>
      </c>
      <c r="B165" s="9" t="str">
        <f>"20220307"</f>
        <v>20220307</v>
      </c>
      <c r="C165" s="9" t="s">
        <v>30</v>
      </c>
      <c r="D165" s="9" t="s">
        <v>32</v>
      </c>
      <c r="E165" s="9" t="str">
        <f>"纪跃男"</f>
        <v>纪跃男</v>
      </c>
      <c r="F165" s="9" t="str">
        <f>"20228021206"</f>
        <v>20228021206</v>
      </c>
      <c r="G165" s="10">
        <v>98.5</v>
      </c>
      <c r="H165" s="10">
        <v>109.6</v>
      </c>
      <c r="I165" s="10">
        <v>105.16</v>
      </c>
      <c r="J165" s="10"/>
      <c r="K165" s="16">
        <f t="shared" si="24"/>
        <v>105.16</v>
      </c>
      <c r="L165" s="16">
        <v>85.36</v>
      </c>
      <c r="M165" s="16">
        <f t="shared" si="25"/>
        <v>86.724</v>
      </c>
    </row>
    <row r="166" spans="1:13" ht="13.5" customHeight="1">
      <c r="A166" s="5">
        <v>164</v>
      </c>
      <c r="B166" s="9" t="str">
        <f>"20220307"</f>
        <v>20220307</v>
      </c>
      <c r="C166" s="9" t="s">
        <v>30</v>
      </c>
      <c r="D166" s="9" t="s">
        <v>32</v>
      </c>
      <c r="E166" s="9" t="str">
        <f>"王梦雪"</f>
        <v>王梦雪</v>
      </c>
      <c r="F166" s="9" t="str">
        <f>"20228021820"</f>
        <v>20228021820</v>
      </c>
      <c r="G166" s="10">
        <v>97</v>
      </c>
      <c r="H166" s="10">
        <v>109.7</v>
      </c>
      <c r="I166" s="10">
        <v>104.62</v>
      </c>
      <c r="J166" s="10"/>
      <c r="K166" s="16">
        <f t="shared" si="24"/>
        <v>104.62</v>
      </c>
      <c r="L166" s="16">
        <v>84.7</v>
      </c>
      <c r="M166" s="16">
        <f t="shared" si="25"/>
        <v>86.19</v>
      </c>
    </row>
    <row r="167" spans="1:13" ht="13.5" customHeight="1">
      <c r="A167" s="5">
        <v>165</v>
      </c>
      <c r="B167" s="9" t="str">
        <f>"20220308"</f>
        <v>20220308</v>
      </c>
      <c r="C167" s="9" t="s">
        <v>28</v>
      </c>
      <c r="D167" s="9" t="s">
        <v>32</v>
      </c>
      <c r="E167" s="9" t="str">
        <f>"董玉云"</f>
        <v>董玉云</v>
      </c>
      <c r="F167" s="9" t="str">
        <f>"20228022225"</f>
        <v>20228022225</v>
      </c>
      <c r="G167" s="10">
        <v>98.5</v>
      </c>
      <c r="H167" s="10">
        <v>80</v>
      </c>
      <c r="I167" s="10">
        <v>87.4</v>
      </c>
      <c r="J167" s="10"/>
      <c r="K167" s="16">
        <f t="shared" si="24"/>
        <v>87.4</v>
      </c>
      <c r="L167" s="16">
        <v>79.66</v>
      </c>
      <c r="M167" s="16">
        <f t="shared" si="25"/>
        <v>75.56400000000001</v>
      </c>
    </row>
    <row r="168" spans="1:13" ht="13.5" customHeight="1">
      <c r="A168" s="5">
        <v>166</v>
      </c>
      <c r="B168" s="9" t="str">
        <f>"20220309"</f>
        <v>20220309</v>
      </c>
      <c r="C168" s="9" t="s">
        <v>33</v>
      </c>
      <c r="D168" s="9" t="s">
        <v>32</v>
      </c>
      <c r="E168" s="9" t="str">
        <f>"单素素"</f>
        <v>单素素</v>
      </c>
      <c r="F168" s="9" t="str">
        <f>"20228022227"</f>
        <v>20228022227</v>
      </c>
      <c r="G168" s="10">
        <v>83.3</v>
      </c>
      <c r="H168" s="10">
        <v>98.2</v>
      </c>
      <c r="I168" s="10">
        <v>92.24</v>
      </c>
      <c r="J168" s="10"/>
      <c r="K168" s="16">
        <f t="shared" si="24"/>
        <v>92.24</v>
      </c>
      <c r="L168" s="16">
        <v>76.4</v>
      </c>
      <c r="M168" s="16">
        <f t="shared" si="25"/>
        <v>76.68</v>
      </c>
    </row>
    <row r="169" spans="1:13" ht="13.5" customHeight="1">
      <c r="A169" s="5">
        <v>167</v>
      </c>
      <c r="B169" s="9" t="str">
        <f>"20220310"</f>
        <v>20220310</v>
      </c>
      <c r="C169" s="9" t="s">
        <v>34</v>
      </c>
      <c r="D169" s="9" t="s">
        <v>32</v>
      </c>
      <c r="E169" s="9" t="str">
        <f>"尹慧"</f>
        <v>尹慧</v>
      </c>
      <c r="F169" s="9" t="str">
        <f>"20228022109"</f>
        <v>20228022109</v>
      </c>
      <c r="G169" s="10">
        <v>99.1</v>
      </c>
      <c r="H169" s="10">
        <v>98.3</v>
      </c>
      <c r="I169" s="10">
        <v>98.62</v>
      </c>
      <c r="J169" s="10"/>
      <c r="K169" s="16">
        <f t="shared" si="24"/>
        <v>98.62</v>
      </c>
      <c r="L169" s="16">
        <v>81.3</v>
      </c>
      <c r="M169" s="16">
        <f t="shared" si="25"/>
        <v>81.83000000000001</v>
      </c>
    </row>
    <row r="170" spans="1:13" ht="13.5" customHeight="1">
      <c r="A170" s="5">
        <v>168</v>
      </c>
      <c r="B170" s="9" t="str">
        <f>"20220310"</f>
        <v>20220310</v>
      </c>
      <c r="C170" s="9" t="s">
        <v>34</v>
      </c>
      <c r="D170" s="9" t="s">
        <v>32</v>
      </c>
      <c r="E170" s="9" t="str">
        <f>"王晓欣"</f>
        <v>王晓欣</v>
      </c>
      <c r="F170" s="9" t="str">
        <f>"20228022118"</f>
        <v>20228022118</v>
      </c>
      <c r="G170" s="10">
        <v>98.5</v>
      </c>
      <c r="H170" s="10">
        <v>94.68</v>
      </c>
      <c r="I170" s="10">
        <v>96.21</v>
      </c>
      <c r="J170" s="10"/>
      <c r="K170" s="16">
        <f t="shared" si="24"/>
        <v>96.21</v>
      </c>
      <c r="L170" s="16">
        <v>76.9</v>
      </c>
      <c r="M170" s="16">
        <f t="shared" si="25"/>
        <v>78.86500000000001</v>
      </c>
    </row>
    <row r="171" spans="1:13" ht="13.5" customHeight="1">
      <c r="A171" s="5">
        <v>169</v>
      </c>
      <c r="B171" s="9" t="str">
        <f>"20220311"</f>
        <v>20220311</v>
      </c>
      <c r="C171" s="9" t="s">
        <v>31</v>
      </c>
      <c r="D171" s="9" t="s">
        <v>32</v>
      </c>
      <c r="E171" s="9" t="str">
        <f>"宋旭敏"</f>
        <v>宋旭敏</v>
      </c>
      <c r="F171" s="9" t="str">
        <f>"20228025529"</f>
        <v>20228025529</v>
      </c>
      <c r="G171" s="10">
        <v>100.7</v>
      </c>
      <c r="H171" s="10">
        <v>103.1</v>
      </c>
      <c r="I171" s="10">
        <v>102.14</v>
      </c>
      <c r="J171" s="10"/>
      <c r="K171" s="16">
        <f t="shared" si="24"/>
        <v>102.14</v>
      </c>
      <c r="L171" s="16">
        <v>83.38</v>
      </c>
      <c r="M171" s="16">
        <f t="shared" si="25"/>
        <v>84.422</v>
      </c>
    </row>
    <row r="172" spans="1:13" ht="13.5" customHeight="1">
      <c r="A172" s="5">
        <v>170</v>
      </c>
      <c r="B172" s="9" t="str">
        <f aca="true" t="shared" si="29" ref="B172:B176">"20220312"</f>
        <v>20220312</v>
      </c>
      <c r="C172" s="9" t="s">
        <v>35</v>
      </c>
      <c r="D172" s="9" t="s">
        <v>32</v>
      </c>
      <c r="E172" s="9" t="str">
        <f>"李嘉宁"</f>
        <v>李嘉宁</v>
      </c>
      <c r="F172" s="9" t="str">
        <f>"20228022306"</f>
        <v>20228022306</v>
      </c>
      <c r="G172" s="10">
        <v>100.6</v>
      </c>
      <c r="H172" s="10">
        <v>94.82</v>
      </c>
      <c r="I172" s="10">
        <v>97.13</v>
      </c>
      <c r="J172" s="10"/>
      <c r="K172" s="16">
        <f t="shared" si="24"/>
        <v>97.13</v>
      </c>
      <c r="L172" s="16">
        <v>83.4</v>
      </c>
      <c r="M172" s="16">
        <f t="shared" si="25"/>
        <v>81.92500000000001</v>
      </c>
    </row>
    <row r="173" spans="1:13" ht="13.5" customHeight="1">
      <c r="A173" s="5">
        <v>171</v>
      </c>
      <c r="B173" s="9" t="str">
        <f t="shared" si="29"/>
        <v>20220312</v>
      </c>
      <c r="C173" s="9" t="s">
        <v>35</v>
      </c>
      <c r="D173" s="9" t="s">
        <v>32</v>
      </c>
      <c r="E173" s="9" t="str">
        <f>"刘崇新"</f>
        <v>刘崇新</v>
      </c>
      <c r="F173" s="9" t="str">
        <f>"20228022402"</f>
        <v>20228022402</v>
      </c>
      <c r="G173" s="10">
        <v>101.1</v>
      </c>
      <c r="H173" s="10">
        <v>95.76</v>
      </c>
      <c r="I173" s="10">
        <v>97.9</v>
      </c>
      <c r="J173" s="10"/>
      <c r="K173" s="16">
        <f t="shared" si="24"/>
        <v>97.9</v>
      </c>
      <c r="L173" s="16">
        <v>77.7</v>
      </c>
      <c r="M173" s="16">
        <f t="shared" si="25"/>
        <v>80.03</v>
      </c>
    </row>
    <row r="174" spans="1:13" ht="13.5" customHeight="1">
      <c r="A174" s="5">
        <v>172</v>
      </c>
      <c r="B174" s="9" t="str">
        <f t="shared" si="29"/>
        <v>20220312</v>
      </c>
      <c r="C174" s="9" t="s">
        <v>35</v>
      </c>
      <c r="D174" s="9" t="s">
        <v>32</v>
      </c>
      <c r="E174" s="9" t="str">
        <f>"田园园"</f>
        <v>田园园</v>
      </c>
      <c r="F174" s="9" t="str">
        <f>"20228022313"</f>
        <v>20228022313</v>
      </c>
      <c r="G174" s="10">
        <v>90</v>
      </c>
      <c r="H174" s="10">
        <v>94.11</v>
      </c>
      <c r="I174" s="10">
        <v>92.47</v>
      </c>
      <c r="J174" s="10"/>
      <c r="K174" s="16">
        <f t="shared" si="24"/>
        <v>92.47</v>
      </c>
      <c r="L174" s="16">
        <v>82.8</v>
      </c>
      <c r="M174" s="16">
        <f t="shared" si="25"/>
        <v>79.35499999999999</v>
      </c>
    </row>
    <row r="175" spans="1:13" ht="13.5" customHeight="1">
      <c r="A175" s="5">
        <v>173</v>
      </c>
      <c r="B175" s="9" t="str">
        <f t="shared" si="29"/>
        <v>20220312</v>
      </c>
      <c r="C175" s="9" t="s">
        <v>35</v>
      </c>
      <c r="D175" s="9" t="s">
        <v>32</v>
      </c>
      <c r="E175" s="9" t="str">
        <f>"郭晓敏"</f>
        <v>郭晓敏</v>
      </c>
      <c r="F175" s="9" t="str">
        <f>"20228022317"</f>
        <v>20228022317</v>
      </c>
      <c r="G175" s="10">
        <v>96</v>
      </c>
      <c r="H175" s="10">
        <v>92.6</v>
      </c>
      <c r="I175" s="10">
        <v>93.96</v>
      </c>
      <c r="J175" s="10"/>
      <c r="K175" s="16">
        <f t="shared" si="24"/>
        <v>93.96</v>
      </c>
      <c r="L175" s="16">
        <v>79.3</v>
      </c>
      <c r="M175" s="16">
        <f t="shared" si="25"/>
        <v>78.69999999999999</v>
      </c>
    </row>
    <row r="176" spans="1:13" ht="13.5" customHeight="1">
      <c r="A176" s="5">
        <v>174</v>
      </c>
      <c r="B176" s="9" t="str">
        <f t="shared" si="29"/>
        <v>20220312</v>
      </c>
      <c r="C176" s="9" t="s">
        <v>35</v>
      </c>
      <c r="D176" s="9" t="s">
        <v>32</v>
      </c>
      <c r="E176" s="9" t="str">
        <f>"郭奥雨"</f>
        <v>郭奥雨</v>
      </c>
      <c r="F176" s="9" t="str">
        <f>"20228022409"</f>
        <v>20228022409</v>
      </c>
      <c r="G176" s="10">
        <v>88.1</v>
      </c>
      <c r="H176" s="10">
        <v>93.17</v>
      </c>
      <c r="I176" s="10">
        <v>91.14</v>
      </c>
      <c r="J176" s="10"/>
      <c r="K176" s="16">
        <f t="shared" si="24"/>
        <v>91.14</v>
      </c>
      <c r="L176" s="16">
        <v>81.4</v>
      </c>
      <c r="M176" s="16">
        <f t="shared" si="25"/>
        <v>78.13</v>
      </c>
    </row>
  </sheetData>
  <sheetProtection/>
  <mergeCells count="1">
    <mergeCell ref="A1:M1"/>
  </mergeCells>
  <printOptions horizontalCentered="1"/>
  <pageMargins left="0.3576388888888889" right="0.3576388888888889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Lenovo</cp:lastModifiedBy>
  <cp:lastPrinted>2021-06-22T03:31:09Z</cp:lastPrinted>
  <dcterms:created xsi:type="dcterms:W3CDTF">2021-05-10T02:14:00Z</dcterms:created>
  <dcterms:modified xsi:type="dcterms:W3CDTF">2022-09-13T00:51:39Z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76E522380BB240F1BC2DCB1F61BA965B</vt:lpwstr>
  </property>
  <property fmtid="{D5CDD505-2E9C-101B-9397-08002B2CF9AE}" pid="4" name="KSOProductBuildV">
    <vt:lpwstr>2052-11.1.0.9914</vt:lpwstr>
  </property>
  <property fmtid="{D5CDD505-2E9C-101B-9397-08002B2CF9AE}" pid="5" name="KSOReadingLayo">
    <vt:bool>true</vt:bool>
  </property>
</Properties>
</file>