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总成绩" sheetId="1" r:id="rId1"/>
  </sheets>
  <definedNames>
    <definedName name="_xlnm.Print_Titles" localSheetId="0">'总成绩'!$3:$3</definedName>
  </definedNames>
  <calcPr fullCalcOnLoad="1"/>
</workbook>
</file>

<file path=xl/sharedStrings.xml><?xml version="1.0" encoding="utf-8"?>
<sst xmlns="http://schemas.openxmlformats.org/spreadsheetml/2006/main" count="474" uniqueCount="24">
  <si>
    <t>2022年利辛县公开招聘非在编中小学教师总成绩公示</t>
  </si>
  <si>
    <t>序号</t>
  </si>
  <si>
    <t>岗位代码</t>
  </si>
  <si>
    <t>岗位名称</t>
  </si>
  <si>
    <t>招聘单位</t>
  </si>
  <si>
    <t>姓名</t>
  </si>
  <si>
    <t>准考证号</t>
  </si>
  <si>
    <t>教育综合</t>
  </si>
  <si>
    <t>学科专业</t>
  </si>
  <si>
    <t>笔试合
成成绩</t>
  </si>
  <si>
    <t>面试成绩</t>
  </si>
  <si>
    <t>总成绩</t>
  </si>
  <si>
    <t>语文</t>
  </si>
  <si>
    <t>初中</t>
  </si>
  <si>
    <t>数学</t>
  </si>
  <si>
    <t>英语</t>
  </si>
  <si>
    <t>道德与法治</t>
  </si>
  <si>
    <t>历史</t>
  </si>
  <si>
    <t>化学</t>
  </si>
  <si>
    <t>体育与健康</t>
  </si>
  <si>
    <t xml:space="preserve">信息技术  </t>
  </si>
  <si>
    <t>小学</t>
  </si>
  <si>
    <t>美术</t>
  </si>
  <si>
    <t>信息技术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</si>
</sst>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2"/>
      <color indexed="10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6" fontId="44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4"/>
  <sheetViews>
    <sheetView tabSelected="1" workbookViewId="0" topLeftCell="A1">
      <selection activeCell="S10" sqref="S10"/>
    </sheetView>
  </sheetViews>
  <sheetFormatPr defaultColWidth="9.00390625" defaultRowHeight="14.25"/>
  <cols>
    <col min="1" max="1" width="5.125" style="1" customWidth="1"/>
    <col min="2" max="2" width="9.375" style="1" customWidth="1"/>
    <col min="3" max="3" width="10.50390625" style="1" customWidth="1"/>
    <col min="4" max="4" width="9.25390625" style="1" customWidth="1"/>
    <col min="5" max="5" width="8.75390625" style="1" customWidth="1"/>
    <col min="6" max="6" width="12.125" style="1" customWidth="1"/>
    <col min="7" max="7" width="8.875" style="6" customWidth="1"/>
    <col min="8" max="8" width="8.50390625" style="6" customWidth="1"/>
    <col min="9" max="9" width="8.125" style="1" customWidth="1"/>
    <col min="10" max="10" width="9.00390625" style="7" customWidth="1"/>
    <col min="11" max="11" width="9.375" style="1" customWidth="1"/>
    <col min="12" max="16384" width="9.00390625" style="6" customWidth="1"/>
  </cols>
  <sheetData>
    <row r="1" spans="1:11" ht="33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17"/>
      <c r="K1" s="9"/>
    </row>
    <row r="3" spans="1:11" s="1" customFormat="1" ht="30.75" customHeight="1">
      <c r="A3" s="10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8" t="s">
        <v>9</v>
      </c>
      <c r="J3" s="19" t="s">
        <v>10</v>
      </c>
      <c r="K3" s="10" t="s">
        <v>11</v>
      </c>
    </row>
    <row r="4" spans="1:11" s="2" customFormat="1" ht="18.75" customHeight="1">
      <c r="A4" s="11">
        <v>1</v>
      </c>
      <c r="B4" s="10" t="str">
        <f>"2022001"</f>
        <v>2022001</v>
      </c>
      <c r="C4" s="10" t="s">
        <v>12</v>
      </c>
      <c r="D4" s="10" t="s">
        <v>13</v>
      </c>
      <c r="E4" s="10" t="str">
        <f>"江珍珍"</f>
        <v>江珍珍</v>
      </c>
      <c r="F4" s="10" t="str">
        <f>"20229120101"</f>
        <v>20229120101</v>
      </c>
      <c r="G4" s="12">
        <v>95.9</v>
      </c>
      <c r="H4" s="12">
        <v>91</v>
      </c>
      <c r="I4" s="12">
        <v>93.45</v>
      </c>
      <c r="J4" s="20">
        <v>81.1</v>
      </c>
      <c r="K4" s="21">
        <f aca="true" t="shared" si="0" ref="K4:K67">I4/1.2*0.3+J4*0.7</f>
        <v>80.1325</v>
      </c>
    </row>
    <row r="5" spans="1:11" s="2" customFormat="1" ht="18.75" customHeight="1">
      <c r="A5" s="11">
        <v>2</v>
      </c>
      <c r="B5" s="10" t="str">
        <f>"2022001"</f>
        <v>2022001</v>
      </c>
      <c r="C5" s="10" t="s">
        <v>12</v>
      </c>
      <c r="D5" s="10" t="s">
        <v>13</v>
      </c>
      <c r="E5" s="10" t="str">
        <f>"丁维芳"</f>
        <v>丁维芳</v>
      </c>
      <c r="F5" s="10" t="str">
        <f>"20229120102"</f>
        <v>20229120102</v>
      </c>
      <c r="G5" s="12">
        <v>81.3</v>
      </c>
      <c r="H5" s="12">
        <v>78.8</v>
      </c>
      <c r="I5" s="12">
        <v>80.05</v>
      </c>
      <c r="J5" s="20">
        <v>77.5</v>
      </c>
      <c r="K5" s="21">
        <f t="shared" si="0"/>
        <v>74.2625</v>
      </c>
    </row>
    <row r="6" spans="1:11" s="2" customFormat="1" ht="18.75" customHeight="1">
      <c r="A6" s="11">
        <v>3</v>
      </c>
      <c r="B6" s="13" t="str">
        <f aca="true" t="shared" si="1" ref="B6:B15">"2022002"</f>
        <v>2022002</v>
      </c>
      <c r="C6" s="13" t="s">
        <v>12</v>
      </c>
      <c r="D6" s="13" t="s">
        <v>13</v>
      </c>
      <c r="E6" s="13" t="str">
        <f>"沈晓英"</f>
        <v>沈晓英</v>
      </c>
      <c r="F6" s="13" t="str">
        <f>"20229120123"</f>
        <v>20229120123</v>
      </c>
      <c r="G6" s="12">
        <v>91.4</v>
      </c>
      <c r="H6" s="12">
        <v>99.6</v>
      </c>
      <c r="I6" s="12">
        <v>95.5</v>
      </c>
      <c r="J6" s="20">
        <v>81.4</v>
      </c>
      <c r="K6" s="21">
        <f t="shared" si="0"/>
        <v>80.855</v>
      </c>
    </row>
    <row r="7" spans="1:11" s="2" customFormat="1" ht="18.75" customHeight="1">
      <c r="A7" s="11">
        <v>4</v>
      </c>
      <c r="B7" s="13" t="str">
        <f t="shared" si="1"/>
        <v>2022002</v>
      </c>
      <c r="C7" s="13" t="s">
        <v>12</v>
      </c>
      <c r="D7" s="13" t="s">
        <v>13</v>
      </c>
      <c r="E7" s="13" t="str">
        <f>"张昊"</f>
        <v>张昊</v>
      </c>
      <c r="F7" s="13" t="str">
        <f>"20229120213"</f>
        <v>20229120213</v>
      </c>
      <c r="G7" s="12">
        <v>86.8</v>
      </c>
      <c r="H7" s="12">
        <v>99.2</v>
      </c>
      <c r="I7" s="12">
        <v>93</v>
      </c>
      <c r="J7" s="20">
        <v>80.1</v>
      </c>
      <c r="K7" s="21">
        <f t="shared" si="0"/>
        <v>79.32</v>
      </c>
    </row>
    <row r="8" spans="1:11" s="2" customFormat="1" ht="18.75" customHeight="1">
      <c r="A8" s="11">
        <v>5</v>
      </c>
      <c r="B8" s="13" t="str">
        <f t="shared" si="1"/>
        <v>2022002</v>
      </c>
      <c r="C8" s="13" t="s">
        <v>12</v>
      </c>
      <c r="D8" s="13" t="s">
        <v>13</v>
      </c>
      <c r="E8" s="13" t="str">
        <f>"李梦庭"</f>
        <v>李梦庭</v>
      </c>
      <c r="F8" s="13" t="str">
        <f>"20229120120"</f>
        <v>20229120120</v>
      </c>
      <c r="G8" s="12">
        <v>90.9</v>
      </c>
      <c r="H8" s="12">
        <v>88.4</v>
      </c>
      <c r="I8" s="12">
        <v>89.65</v>
      </c>
      <c r="J8" s="20">
        <v>80.94</v>
      </c>
      <c r="K8" s="21">
        <f t="shared" si="0"/>
        <v>79.0705</v>
      </c>
    </row>
    <row r="9" spans="1:11" s="2" customFormat="1" ht="18.75" customHeight="1">
      <c r="A9" s="11">
        <v>6</v>
      </c>
      <c r="B9" s="13" t="str">
        <f t="shared" si="1"/>
        <v>2022002</v>
      </c>
      <c r="C9" s="13" t="s">
        <v>12</v>
      </c>
      <c r="D9" s="13" t="s">
        <v>13</v>
      </c>
      <c r="E9" s="13" t="str">
        <f>"韩勤勤"</f>
        <v>韩勤勤</v>
      </c>
      <c r="F9" s="13" t="str">
        <f>"20229120110"</f>
        <v>20229120110</v>
      </c>
      <c r="G9" s="12">
        <v>97.4</v>
      </c>
      <c r="H9" s="12">
        <v>84.7</v>
      </c>
      <c r="I9" s="12">
        <v>91.05</v>
      </c>
      <c r="J9" s="20">
        <v>80</v>
      </c>
      <c r="K9" s="21">
        <f t="shared" si="0"/>
        <v>78.7625</v>
      </c>
    </row>
    <row r="10" spans="1:11" s="2" customFormat="1" ht="18.75" customHeight="1">
      <c r="A10" s="11">
        <v>7</v>
      </c>
      <c r="B10" s="13" t="str">
        <f t="shared" si="1"/>
        <v>2022002</v>
      </c>
      <c r="C10" s="13" t="s">
        <v>12</v>
      </c>
      <c r="D10" s="13" t="s">
        <v>13</v>
      </c>
      <c r="E10" s="13" t="str">
        <f>"燕冰"</f>
        <v>燕冰</v>
      </c>
      <c r="F10" s="13" t="str">
        <f>"20229120201"</f>
        <v>20229120201</v>
      </c>
      <c r="G10" s="12">
        <v>94.3</v>
      </c>
      <c r="H10" s="12">
        <v>84.7</v>
      </c>
      <c r="I10" s="12">
        <v>89.5</v>
      </c>
      <c r="J10" s="20">
        <v>80.18</v>
      </c>
      <c r="K10" s="21">
        <f t="shared" si="0"/>
        <v>78.501</v>
      </c>
    </row>
    <row r="11" spans="1:11" s="2" customFormat="1" ht="18.75" customHeight="1">
      <c r="A11" s="11">
        <v>8</v>
      </c>
      <c r="B11" s="13" t="str">
        <f t="shared" si="1"/>
        <v>2022002</v>
      </c>
      <c r="C11" s="13" t="s">
        <v>12</v>
      </c>
      <c r="D11" s="13" t="s">
        <v>13</v>
      </c>
      <c r="E11" s="13" t="str">
        <f>"江海娣"</f>
        <v>江海娣</v>
      </c>
      <c r="F11" s="13" t="str">
        <f>"20229120114"</f>
        <v>20229120114</v>
      </c>
      <c r="G11" s="12">
        <v>88.4</v>
      </c>
      <c r="H11" s="12">
        <v>93.6</v>
      </c>
      <c r="I11" s="12">
        <v>91</v>
      </c>
      <c r="J11" s="20">
        <v>78.7</v>
      </c>
      <c r="K11" s="21">
        <f t="shared" si="0"/>
        <v>77.84</v>
      </c>
    </row>
    <row r="12" spans="1:11" s="2" customFormat="1" ht="18.75" customHeight="1">
      <c r="A12" s="11">
        <v>9</v>
      </c>
      <c r="B12" s="13" t="str">
        <f t="shared" si="1"/>
        <v>2022002</v>
      </c>
      <c r="C12" s="13" t="s">
        <v>12</v>
      </c>
      <c r="D12" s="13" t="s">
        <v>13</v>
      </c>
      <c r="E12" s="13" t="str">
        <f>"付琳"</f>
        <v>付琳</v>
      </c>
      <c r="F12" s="13" t="str">
        <f>"20229120203"</f>
        <v>20229120203</v>
      </c>
      <c r="G12" s="12">
        <v>88</v>
      </c>
      <c r="H12" s="12">
        <v>91.7</v>
      </c>
      <c r="I12" s="12">
        <v>89.85</v>
      </c>
      <c r="J12" s="20">
        <v>78.94</v>
      </c>
      <c r="K12" s="21">
        <f t="shared" si="0"/>
        <v>77.72049999999999</v>
      </c>
    </row>
    <row r="13" spans="1:11" s="2" customFormat="1" ht="18.75" customHeight="1">
      <c r="A13" s="11">
        <v>10</v>
      </c>
      <c r="B13" s="13" t="str">
        <f t="shared" si="1"/>
        <v>2022002</v>
      </c>
      <c r="C13" s="13" t="s">
        <v>12</v>
      </c>
      <c r="D13" s="13" t="s">
        <v>13</v>
      </c>
      <c r="E13" s="13" t="str">
        <f>"王倩"</f>
        <v>王倩</v>
      </c>
      <c r="F13" s="13" t="str">
        <f>"20229120212"</f>
        <v>20229120212</v>
      </c>
      <c r="G13" s="12">
        <v>90.1</v>
      </c>
      <c r="H13" s="12">
        <v>90.4</v>
      </c>
      <c r="I13" s="12">
        <v>90.25</v>
      </c>
      <c r="J13" s="20">
        <v>77.94</v>
      </c>
      <c r="K13" s="21">
        <f t="shared" si="0"/>
        <v>77.12049999999999</v>
      </c>
    </row>
    <row r="14" spans="1:11" s="2" customFormat="1" ht="18.75" customHeight="1">
      <c r="A14" s="11">
        <v>11</v>
      </c>
      <c r="B14" s="13" t="str">
        <f t="shared" si="1"/>
        <v>2022002</v>
      </c>
      <c r="C14" s="13" t="s">
        <v>12</v>
      </c>
      <c r="D14" s="13" t="s">
        <v>13</v>
      </c>
      <c r="E14" s="13" t="str">
        <f>"马文君"</f>
        <v>马文君</v>
      </c>
      <c r="F14" s="13" t="str">
        <f>"20229120113"</f>
        <v>20229120113</v>
      </c>
      <c r="G14" s="12">
        <v>93.4</v>
      </c>
      <c r="H14" s="12">
        <v>93.3</v>
      </c>
      <c r="I14" s="12">
        <v>93.35</v>
      </c>
      <c r="J14" s="20">
        <v>0</v>
      </c>
      <c r="K14" s="21">
        <f t="shared" si="0"/>
        <v>23.337500000000002</v>
      </c>
    </row>
    <row r="15" spans="1:11" s="2" customFormat="1" ht="18.75" customHeight="1">
      <c r="A15" s="11">
        <v>12</v>
      </c>
      <c r="B15" s="13" t="str">
        <f t="shared" si="1"/>
        <v>2022002</v>
      </c>
      <c r="C15" s="13" t="s">
        <v>12</v>
      </c>
      <c r="D15" s="13" t="s">
        <v>13</v>
      </c>
      <c r="E15" s="13" t="str">
        <f>"刘婉晴"</f>
        <v>刘婉晴</v>
      </c>
      <c r="F15" s="13" t="str">
        <f>"20229120128"</f>
        <v>20229120128</v>
      </c>
      <c r="G15" s="12">
        <v>100.7</v>
      </c>
      <c r="H15" s="12">
        <v>78.7</v>
      </c>
      <c r="I15" s="12">
        <v>89.7</v>
      </c>
      <c r="J15" s="20">
        <v>0</v>
      </c>
      <c r="K15" s="21">
        <f t="shared" si="0"/>
        <v>22.425</v>
      </c>
    </row>
    <row r="16" spans="1:11" s="2" customFormat="1" ht="18.75" customHeight="1">
      <c r="A16" s="11">
        <v>13</v>
      </c>
      <c r="B16" s="10" t="str">
        <f>"2022003"</f>
        <v>2022003</v>
      </c>
      <c r="C16" s="10" t="s">
        <v>14</v>
      </c>
      <c r="D16" s="10" t="s">
        <v>13</v>
      </c>
      <c r="E16" s="10" t="str">
        <f>"路欣瑶"</f>
        <v>路欣瑶</v>
      </c>
      <c r="F16" s="10" t="str">
        <f>"20229120302"</f>
        <v>20229120302</v>
      </c>
      <c r="G16" s="12">
        <v>94.5</v>
      </c>
      <c r="H16" s="12">
        <v>97.6</v>
      </c>
      <c r="I16" s="12">
        <v>96.05</v>
      </c>
      <c r="J16" s="20">
        <v>74.76</v>
      </c>
      <c r="K16" s="21">
        <f t="shared" si="0"/>
        <v>76.3445</v>
      </c>
    </row>
    <row r="17" spans="1:11" s="2" customFormat="1" ht="18.75" customHeight="1">
      <c r="A17" s="11">
        <v>14</v>
      </c>
      <c r="B17" s="10" t="str">
        <f aca="true" t="shared" si="2" ref="B17:B26">"2022004"</f>
        <v>2022004</v>
      </c>
      <c r="C17" s="10" t="s">
        <v>14</v>
      </c>
      <c r="D17" s="10" t="s">
        <v>13</v>
      </c>
      <c r="E17" s="10" t="str">
        <f>"张骞"</f>
        <v>张骞</v>
      </c>
      <c r="F17" s="10" t="str">
        <f>"20229120330"</f>
        <v>20229120330</v>
      </c>
      <c r="G17" s="12">
        <v>87.1</v>
      </c>
      <c r="H17" s="12">
        <v>98.4</v>
      </c>
      <c r="I17" s="12">
        <v>92.75</v>
      </c>
      <c r="J17" s="20">
        <v>80.38</v>
      </c>
      <c r="K17" s="21">
        <f t="shared" si="0"/>
        <v>79.45349999999999</v>
      </c>
    </row>
    <row r="18" spans="1:11" s="2" customFormat="1" ht="18.75" customHeight="1">
      <c r="A18" s="11">
        <v>15</v>
      </c>
      <c r="B18" s="10" t="str">
        <f t="shared" si="2"/>
        <v>2022004</v>
      </c>
      <c r="C18" s="10" t="s">
        <v>14</v>
      </c>
      <c r="D18" s="10" t="s">
        <v>13</v>
      </c>
      <c r="E18" s="10" t="str">
        <f>"江宇辉"</f>
        <v>江宇辉</v>
      </c>
      <c r="F18" s="10" t="str">
        <f>"20229120316"</f>
        <v>20229120316</v>
      </c>
      <c r="G18" s="12">
        <v>84.7</v>
      </c>
      <c r="H18" s="12">
        <v>97.8</v>
      </c>
      <c r="I18" s="12">
        <v>91.25</v>
      </c>
      <c r="J18" s="19">
        <v>79.7</v>
      </c>
      <c r="K18" s="21">
        <f t="shared" si="0"/>
        <v>78.60249999999999</v>
      </c>
    </row>
    <row r="19" spans="1:11" s="2" customFormat="1" ht="18.75" customHeight="1">
      <c r="A19" s="11">
        <v>16</v>
      </c>
      <c r="B19" s="10" t="str">
        <f t="shared" si="2"/>
        <v>2022004</v>
      </c>
      <c r="C19" s="10" t="s">
        <v>14</v>
      </c>
      <c r="D19" s="10" t="s">
        <v>13</v>
      </c>
      <c r="E19" s="10" t="str">
        <f>"陈欢欢"</f>
        <v>陈欢欢</v>
      </c>
      <c r="F19" s="10" t="str">
        <f>"20229120323"</f>
        <v>20229120323</v>
      </c>
      <c r="G19" s="12">
        <v>77.5</v>
      </c>
      <c r="H19" s="12">
        <v>105</v>
      </c>
      <c r="I19" s="12">
        <v>91.25</v>
      </c>
      <c r="J19" s="19">
        <v>78</v>
      </c>
      <c r="K19" s="21">
        <f t="shared" si="0"/>
        <v>77.4125</v>
      </c>
    </row>
    <row r="20" spans="1:11" s="2" customFormat="1" ht="18.75" customHeight="1">
      <c r="A20" s="11">
        <v>17</v>
      </c>
      <c r="B20" s="10" t="str">
        <f t="shared" si="2"/>
        <v>2022004</v>
      </c>
      <c r="C20" s="10" t="s">
        <v>14</v>
      </c>
      <c r="D20" s="10" t="s">
        <v>13</v>
      </c>
      <c r="E20" s="10" t="str">
        <f>"李秀争"</f>
        <v>李秀争</v>
      </c>
      <c r="F20" s="10" t="str">
        <f>"20229120408"</f>
        <v>20229120408</v>
      </c>
      <c r="G20" s="12">
        <v>95.8</v>
      </c>
      <c r="H20" s="12">
        <v>91.85</v>
      </c>
      <c r="I20" s="12">
        <v>93.83</v>
      </c>
      <c r="J20" s="20">
        <v>76</v>
      </c>
      <c r="K20" s="21">
        <f t="shared" si="0"/>
        <v>76.6575</v>
      </c>
    </row>
    <row r="21" spans="1:11" s="2" customFormat="1" ht="18.75" customHeight="1">
      <c r="A21" s="11">
        <v>18</v>
      </c>
      <c r="B21" s="10" t="str">
        <f t="shared" si="2"/>
        <v>2022004</v>
      </c>
      <c r="C21" s="10" t="s">
        <v>14</v>
      </c>
      <c r="D21" s="10" t="s">
        <v>13</v>
      </c>
      <c r="E21" s="10" t="str">
        <f>"刘冰玉"</f>
        <v>刘冰玉</v>
      </c>
      <c r="F21" s="10" t="str">
        <f>"20229120320"</f>
        <v>20229120320</v>
      </c>
      <c r="G21" s="12">
        <v>82</v>
      </c>
      <c r="H21" s="12">
        <v>100.65</v>
      </c>
      <c r="I21" s="12">
        <v>91.33</v>
      </c>
      <c r="J21" s="20">
        <v>76.76</v>
      </c>
      <c r="K21" s="21">
        <f t="shared" si="0"/>
        <v>76.5645</v>
      </c>
    </row>
    <row r="22" spans="1:11" s="2" customFormat="1" ht="18.75" customHeight="1">
      <c r="A22" s="11">
        <v>19</v>
      </c>
      <c r="B22" s="10" t="str">
        <f t="shared" si="2"/>
        <v>2022004</v>
      </c>
      <c r="C22" s="10" t="s">
        <v>14</v>
      </c>
      <c r="D22" s="10" t="s">
        <v>13</v>
      </c>
      <c r="E22" s="10" t="str">
        <f>"张孟伟"</f>
        <v>张孟伟</v>
      </c>
      <c r="F22" s="10" t="str">
        <f>"20229120311"</f>
        <v>20229120311</v>
      </c>
      <c r="G22" s="12">
        <v>85.4</v>
      </c>
      <c r="H22" s="12">
        <v>101.4</v>
      </c>
      <c r="I22" s="12">
        <v>93.4</v>
      </c>
      <c r="J22" s="20">
        <v>75.7</v>
      </c>
      <c r="K22" s="21">
        <f t="shared" si="0"/>
        <v>76.34</v>
      </c>
    </row>
    <row r="23" spans="1:11" ht="18.75" customHeight="1">
      <c r="A23" s="11">
        <v>20</v>
      </c>
      <c r="B23" s="10" t="str">
        <f t="shared" si="2"/>
        <v>2022004</v>
      </c>
      <c r="C23" s="10" t="s">
        <v>14</v>
      </c>
      <c r="D23" s="10" t="s">
        <v>13</v>
      </c>
      <c r="E23" s="10" t="str">
        <f>"张春春"</f>
        <v>张春春</v>
      </c>
      <c r="F23" s="10" t="str">
        <f>"20229120401"</f>
        <v>20229120401</v>
      </c>
      <c r="G23" s="12">
        <v>89</v>
      </c>
      <c r="H23" s="12">
        <v>91.4</v>
      </c>
      <c r="I23" s="12">
        <v>90.2</v>
      </c>
      <c r="J23" s="19">
        <v>75.58</v>
      </c>
      <c r="K23" s="21">
        <f t="shared" si="0"/>
        <v>75.456</v>
      </c>
    </row>
    <row r="24" spans="1:11" ht="18.75" customHeight="1">
      <c r="A24" s="11">
        <v>21</v>
      </c>
      <c r="B24" s="10" t="str">
        <f t="shared" si="2"/>
        <v>2022004</v>
      </c>
      <c r="C24" s="10" t="s">
        <v>14</v>
      </c>
      <c r="D24" s="10" t="s">
        <v>13</v>
      </c>
      <c r="E24" s="10" t="str">
        <f>"陈秋月"</f>
        <v>陈秋月</v>
      </c>
      <c r="F24" s="10" t="str">
        <f>"20229120305"</f>
        <v>20229120305</v>
      </c>
      <c r="G24" s="12">
        <v>98.4</v>
      </c>
      <c r="H24" s="12">
        <v>90.8</v>
      </c>
      <c r="I24" s="12">
        <v>94.6</v>
      </c>
      <c r="J24" s="20">
        <v>73.36</v>
      </c>
      <c r="K24" s="21">
        <f t="shared" si="0"/>
        <v>75.002</v>
      </c>
    </row>
    <row r="25" spans="1:11" ht="18.75" customHeight="1">
      <c r="A25" s="11">
        <v>22</v>
      </c>
      <c r="B25" s="10" t="str">
        <f t="shared" si="2"/>
        <v>2022004</v>
      </c>
      <c r="C25" s="10" t="s">
        <v>14</v>
      </c>
      <c r="D25" s="10" t="s">
        <v>13</v>
      </c>
      <c r="E25" s="10" t="str">
        <f>"都悦"</f>
        <v>都悦</v>
      </c>
      <c r="F25" s="10" t="str">
        <f>"20229120307"</f>
        <v>20229120307</v>
      </c>
      <c r="G25" s="12">
        <v>96.6</v>
      </c>
      <c r="H25" s="12">
        <v>96.65</v>
      </c>
      <c r="I25" s="12">
        <v>96.63</v>
      </c>
      <c r="J25" s="20">
        <v>71.2</v>
      </c>
      <c r="K25" s="21">
        <f t="shared" si="0"/>
        <v>73.9975</v>
      </c>
    </row>
    <row r="26" spans="1:11" ht="18.75" customHeight="1">
      <c r="A26" s="11">
        <v>23</v>
      </c>
      <c r="B26" s="10" t="str">
        <f t="shared" si="2"/>
        <v>2022004</v>
      </c>
      <c r="C26" s="10" t="s">
        <v>14</v>
      </c>
      <c r="D26" s="10" t="s">
        <v>13</v>
      </c>
      <c r="E26" s="10" t="str">
        <f>"李小蒙"</f>
        <v>李小蒙</v>
      </c>
      <c r="F26" s="10" t="str">
        <f>"20229120409"</f>
        <v>20229120409</v>
      </c>
      <c r="G26" s="12">
        <v>84.1</v>
      </c>
      <c r="H26" s="12">
        <v>97.35</v>
      </c>
      <c r="I26" s="12">
        <v>90.73</v>
      </c>
      <c r="J26" s="19">
        <v>71.56</v>
      </c>
      <c r="K26" s="21">
        <f t="shared" si="0"/>
        <v>72.7745</v>
      </c>
    </row>
    <row r="27" spans="1:11" ht="18.75" customHeight="1">
      <c r="A27" s="11">
        <v>24</v>
      </c>
      <c r="B27" s="10" t="str">
        <f>"2022005"</f>
        <v>2022005</v>
      </c>
      <c r="C27" s="10" t="s">
        <v>15</v>
      </c>
      <c r="D27" s="10" t="s">
        <v>13</v>
      </c>
      <c r="E27" s="10" t="str">
        <f>"杨璐"</f>
        <v>杨璐</v>
      </c>
      <c r="F27" s="10" t="str">
        <f>"20229120503"</f>
        <v>20229120503</v>
      </c>
      <c r="G27" s="12">
        <v>91.4</v>
      </c>
      <c r="H27" s="12">
        <v>98.3</v>
      </c>
      <c r="I27" s="12">
        <v>94.85</v>
      </c>
      <c r="J27" s="19">
        <v>81.76</v>
      </c>
      <c r="K27" s="21">
        <f t="shared" si="0"/>
        <v>80.9445</v>
      </c>
    </row>
    <row r="28" spans="1:11" ht="18.75" customHeight="1">
      <c r="A28" s="11">
        <v>25</v>
      </c>
      <c r="B28" s="10" t="str">
        <f>"2022005"</f>
        <v>2022005</v>
      </c>
      <c r="C28" s="10" t="s">
        <v>15</v>
      </c>
      <c r="D28" s="10" t="s">
        <v>13</v>
      </c>
      <c r="E28" s="10" t="str">
        <f>"焦玉倩"</f>
        <v>焦玉倩</v>
      </c>
      <c r="F28" s="10" t="str">
        <f>"20229120504"</f>
        <v>20229120504</v>
      </c>
      <c r="G28" s="12">
        <v>72.6</v>
      </c>
      <c r="H28" s="12">
        <v>79.4</v>
      </c>
      <c r="I28" s="12">
        <v>76</v>
      </c>
      <c r="J28" s="19">
        <v>75.39</v>
      </c>
      <c r="K28" s="21">
        <f t="shared" si="0"/>
        <v>71.773</v>
      </c>
    </row>
    <row r="29" spans="1:11" ht="18.75" customHeight="1">
      <c r="A29" s="11">
        <v>26</v>
      </c>
      <c r="B29" s="10" t="str">
        <f>"2022005"</f>
        <v>2022005</v>
      </c>
      <c r="C29" s="10" t="s">
        <v>15</v>
      </c>
      <c r="D29" s="10" t="s">
        <v>13</v>
      </c>
      <c r="E29" s="10" t="str">
        <f>"赵文婷"</f>
        <v>赵文婷</v>
      </c>
      <c r="F29" s="10" t="str">
        <f>"20229120501"</f>
        <v>20229120501</v>
      </c>
      <c r="G29" s="12">
        <v>76.5</v>
      </c>
      <c r="H29" s="12">
        <v>84.2</v>
      </c>
      <c r="I29" s="12">
        <v>80.35</v>
      </c>
      <c r="J29" s="19">
        <v>0</v>
      </c>
      <c r="K29" s="21">
        <f t="shared" si="0"/>
        <v>20.0875</v>
      </c>
    </row>
    <row r="30" spans="1:11" ht="18.75" customHeight="1">
      <c r="A30" s="11">
        <v>27</v>
      </c>
      <c r="B30" s="10" t="str">
        <f>"2022006"</f>
        <v>2022006</v>
      </c>
      <c r="C30" s="10" t="s">
        <v>15</v>
      </c>
      <c r="D30" s="10" t="s">
        <v>13</v>
      </c>
      <c r="E30" s="10" t="str">
        <f>"贾茹"</f>
        <v>贾茹</v>
      </c>
      <c r="F30" s="10" t="str">
        <f>"20229120520"</f>
        <v>20229120520</v>
      </c>
      <c r="G30" s="12">
        <v>99.3</v>
      </c>
      <c r="H30" s="12">
        <v>109.5</v>
      </c>
      <c r="I30" s="12">
        <v>104.4</v>
      </c>
      <c r="J30" s="19">
        <v>84.53</v>
      </c>
      <c r="K30" s="21">
        <f t="shared" si="0"/>
        <v>85.271</v>
      </c>
    </row>
    <row r="31" spans="1:11" ht="18.75" customHeight="1">
      <c r="A31" s="11">
        <v>28</v>
      </c>
      <c r="B31" s="10" t="str">
        <f>"2022006"</f>
        <v>2022006</v>
      </c>
      <c r="C31" s="10" t="s">
        <v>15</v>
      </c>
      <c r="D31" s="10" t="s">
        <v>13</v>
      </c>
      <c r="E31" s="10" t="str">
        <f>"吴小方"</f>
        <v>吴小方</v>
      </c>
      <c r="F31" s="10" t="str">
        <f>"20229120525"</f>
        <v>20229120525</v>
      </c>
      <c r="G31" s="12">
        <v>97.3</v>
      </c>
      <c r="H31" s="12">
        <v>102.6</v>
      </c>
      <c r="I31" s="12">
        <v>99.95</v>
      </c>
      <c r="J31" s="19">
        <v>83.9</v>
      </c>
      <c r="K31" s="21">
        <f t="shared" si="0"/>
        <v>83.7175</v>
      </c>
    </row>
    <row r="32" spans="1:11" ht="18.75" customHeight="1">
      <c r="A32" s="11">
        <v>29</v>
      </c>
      <c r="B32" s="10" t="str">
        <f>"2022006"</f>
        <v>2022006</v>
      </c>
      <c r="C32" s="10" t="s">
        <v>15</v>
      </c>
      <c r="D32" s="10" t="s">
        <v>13</v>
      </c>
      <c r="E32" s="10" t="str">
        <f>"崔宁宁"</f>
        <v>崔宁宁</v>
      </c>
      <c r="F32" s="10" t="str">
        <f>"20229120516"</f>
        <v>20229120516</v>
      </c>
      <c r="G32" s="12">
        <v>94.2</v>
      </c>
      <c r="H32" s="12">
        <v>103.9</v>
      </c>
      <c r="I32" s="12">
        <v>99.05</v>
      </c>
      <c r="J32" s="19">
        <v>83.27</v>
      </c>
      <c r="K32" s="21">
        <f t="shared" si="0"/>
        <v>83.05149999999999</v>
      </c>
    </row>
    <row r="33" spans="1:11" ht="18.75" customHeight="1">
      <c r="A33" s="11">
        <v>30</v>
      </c>
      <c r="B33" s="10" t="str">
        <f>"2022006"</f>
        <v>2022006</v>
      </c>
      <c r="C33" s="10" t="s">
        <v>15</v>
      </c>
      <c r="D33" s="10" t="s">
        <v>13</v>
      </c>
      <c r="E33" s="10" t="str">
        <f>"苏梦"</f>
        <v>苏梦</v>
      </c>
      <c r="F33" s="10" t="str">
        <f>"20229120527"</f>
        <v>20229120527</v>
      </c>
      <c r="G33" s="12">
        <v>97.4</v>
      </c>
      <c r="H33" s="12">
        <v>103.3</v>
      </c>
      <c r="I33" s="12">
        <v>100.35</v>
      </c>
      <c r="J33" s="19">
        <v>79.94</v>
      </c>
      <c r="K33" s="21">
        <f t="shared" si="0"/>
        <v>81.0455</v>
      </c>
    </row>
    <row r="34" spans="1:11" ht="18.75" customHeight="1">
      <c r="A34" s="11">
        <v>31</v>
      </c>
      <c r="B34" s="14" t="str">
        <f>"2022008"</f>
        <v>2022008</v>
      </c>
      <c r="C34" s="14" t="s">
        <v>16</v>
      </c>
      <c r="D34" s="14" t="s">
        <v>13</v>
      </c>
      <c r="E34" s="14" t="str">
        <f>"于鸿浩"</f>
        <v>于鸿浩</v>
      </c>
      <c r="F34" s="14" t="str">
        <f>"20229120617"</f>
        <v>20229120617</v>
      </c>
      <c r="G34" s="15">
        <v>80.6</v>
      </c>
      <c r="H34" s="15">
        <v>103.9</v>
      </c>
      <c r="I34" s="15">
        <v>92.25</v>
      </c>
      <c r="J34" s="20">
        <v>87.14</v>
      </c>
      <c r="K34" s="21">
        <f t="shared" si="0"/>
        <v>84.06049999999999</v>
      </c>
    </row>
    <row r="35" spans="1:11" ht="18.75" customHeight="1">
      <c r="A35" s="11">
        <v>32</v>
      </c>
      <c r="B35" s="10" t="str">
        <f>"2022008"</f>
        <v>2022008</v>
      </c>
      <c r="C35" s="10" t="s">
        <v>16</v>
      </c>
      <c r="D35" s="10" t="s">
        <v>13</v>
      </c>
      <c r="E35" s="10" t="str">
        <f>"韩文文"</f>
        <v>韩文文</v>
      </c>
      <c r="F35" s="10" t="str">
        <f>"20229120614"</f>
        <v>20229120614</v>
      </c>
      <c r="G35" s="12">
        <v>91.9</v>
      </c>
      <c r="H35" s="12">
        <v>104.8</v>
      </c>
      <c r="I35" s="12">
        <v>98.35</v>
      </c>
      <c r="J35" s="19">
        <v>82.54</v>
      </c>
      <c r="K35" s="21">
        <f t="shared" si="0"/>
        <v>82.3655</v>
      </c>
    </row>
    <row r="36" spans="1:11" s="3" customFormat="1" ht="18.75" customHeight="1">
      <c r="A36" s="11">
        <v>33</v>
      </c>
      <c r="B36" s="10" t="str">
        <f>"2022008"</f>
        <v>2022008</v>
      </c>
      <c r="C36" s="10" t="s">
        <v>16</v>
      </c>
      <c r="D36" s="10" t="s">
        <v>13</v>
      </c>
      <c r="E36" s="10" t="str">
        <f>"侯琪琪"</f>
        <v>侯琪琪</v>
      </c>
      <c r="F36" s="10" t="str">
        <f>"20229120611"</f>
        <v>20229120611</v>
      </c>
      <c r="G36" s="12">
        <v>89.1</v>
      </c>
      <c r="H36" s="12">
        <v>102.1</v>
      </c>
      <c r="I36" s="12">
        <v>95.6</v>
      </c>
      <c r="J36" s="19">
        <v>82.62</v>
      </c>
      <c r="K36" s="21">
        <f t="shared" si="0"/>
        <v>81.734</v>
      </c>
    </row>
    <row r="37" spans="1:11" ht="18.75" customHeight="1">
      <c r="A37" s="11">
        <v>34</v>
      </c>
      <c r="B37" s="10" t="str">
        <f>"2022008"</f>
        <v>2022008</v>
      </c>
      <c r="C37" s="10" t="s">
        <v>16</v>
      </c>
      <c r="D37" s="10" t="s">
        <v>13</v>
      </c>
      <c r="E37" s="10" t="str">
        <f>"钱禹"</f>
        <v>钱禹</v>
      </c>
      <c r="F37" s="10" t="str">
        <f>"20229120616"</f>
        <v>20229120616</v>
      </c>
      <c r="G37" s="12">
        <v>74.6</v>
      </c>
      <c r="H37" s="12">
        <v>104.4</v>
      </c>
      <c r="I37" s="12">
        <v>89.5</v>
      </c>
      <c r="J37" s="19">
        <v>81.76</v>
      </c>
      <c r="K37" s="21">
        <f t="shared" si="0"/>
        <v>79.607</v>
      </c>
    </row>
    <row r="38" spans="1:11" ht="18.75" customHeight="1">
      <c r="A38" s="11">
        <v>35</v>
      </c>
      <c r="B38" s="10" t="str">
        <f aca="true" t="shared" si="3" ref="B38:B41">"2022010"</f>
        <v>2022010</v>
      </c>
      <c r="C38" s="10" t="s">
        <v>17</v>
      </c>
      <c r="D38" s="10" t="s">
        <v>13</v>
      </c>
      <c r="E38" s="10" t="str">
        <f>"吴重庆"</f>
        <v>吴重庆</v>
      </c>
      <c r="F38" s="10" t="str">
        <f>"20229120624"</f>
        <v>20229120624</v>
      </c>
      <c r="G38" s="12">
        <v>95.9</v>
      </c>
      <c r="H38" s="12">
        <v>96.5</v>
      </c>
      <c r="I38" s="12">
        <v>96.2</v>
      </c>
      <c r="J38" s="10">
        <v>86.12</v>
      </c>
      <c r="K38" s="21">
        <f t="shared" si="0"/>
        <v>84.334</v>
      </c>
    </row>
    <row r="39" spans="1:11" ht="18.75" customHeight="1">
      <c r="A39" s="11">
        <v>36</v>
      </c>
      <c r="B39" s="10" t="str">
        <f t="shared" si="3"/>
        <v>2022010</v>
      </c>
      <c r="C39" s="10" t="s">
        <v>17</v>
      </c>
      <c r="D39" s="10" t="s">
        <v>13</v>
      </c>
      <c r="E39" s="10" t="str">
        <f>"王艳丽"</f>
        <v>王艳丽</v>
      </c>
      <c r="F39" s="10" t="str">
        <f>"20229120626"</f>
        <v>20229120626</v>
      </c>
      <c r="G39" s="12">
        <v>96.8</v>
      </c>
      <c r="H39" s="12">
        <v>87.8</v>
      </c>
      <c r="I39" s="12">
        <v>92.3</v>
      </c>
      <c r="J39" s="10">
        <v>83.92</v>
      </c>
      <c r="K39" s="21">
        <f t="shared" si="0"/>
        <v>81.819</v>
      </c>
    </row>
    <row r="40" spans="1:11" ht="18.75" customHeight="1">
      <c r="A40" s="11">
        <v>37</v>
      </c>
      <c r="B40" s="16" t="str">
        <f t="shared" si="3"/>
        <v>2022010</v>
      </c>
      <c r="C40" s="16" t="s">
        <v>17</v>
      </c>
      <c r="D40" s="16" t="s">
        <v>13</v>
      </c>
      <c r="E40" s="16" t="str">
        <f>"毛江涛"</f>
        <v>毛江涛</v>
      </c>
      <c r="F40" s="16" t="str">
        <f>"20229120620"</f>
        <v>20229120620</v>
      </c>
      <c r="G40" s="15">
        <v>83.5</v>
      </c>
      <c r="H40" s="15">
        <v>96.3</v>
      </c>
      <c r="I40" s="15">
        <v>89.9</v>
      </c>
      <c r="J40" s="19">
        <v>80.8</v>
      </c>
      <c r="K40" s="21">
        <f t="shared" si="0"/>
        <v>79.035</v>
      </c>
    </row>
    <row r="41" spans="1:11" s="4" customFormat="1" ht="18.75" customHeight="1">
      <c r="A41" s="11">
        <v>38</v>
      </c>
      <c r="B41" s="10" t="str">
        <f t="shared" si="3"/>
        <v>2022010</v>
      </c>
      <c r="C41" s="10" t="s">
        <v>17</v>
      </c>
      <c r="D41" s="10" t="s">
        <v>13</v>
      </c>
      <c r="E41" s="10" t="str">
        <f>"王棚"</f>
        <v>王棚</v>
      </c>
      <c r="F41" s="10" t="str">
        <f>"20229120625"</f>
        <v>20229120625</v>
      </c>
      <c r="G41" s="12">
        <v>89.2</v>
      </c>
      <c r="H41" s="12">
        <v>92.2</v>
      </c>
      <c r="I41" s="12">
        <v>90.7</v>
      </c>
      <c r="J41" s="10">
        <v>0</v>
      </c>
      <c r="K41" s="21">
        <f t="shared" si="0"/>
        <v>22.675</v>
      </c>
    </row>
    <row r="42" spans="1:11" ht="18.75" customHeight="1">
      <c r="A42" s="11">
        <v>39</v>
      </c>
      <c r="B42" s="10" t="str">
        <f>"2022013"</f>
        <v>2022013</v>
      </c>
      <c r="C42" s="10" t="s">
        <v>18</v>
      </c>
      <c r="D42" s="10" t="s">
        <v>13</v>
      </c>
      <c r="E42" s="10" t="str">
        <f>"姚玉友"</f>
        <v>姚玉友</v>
      </c>
      <c r="F42" s="10" t="str">
        <f>"20229120228"</f>
        <v>20229120228</v>
      </c>
      <c r="G42" s="12">
        <v>61.6</v>
      </c>
      <c r="H42" s="12">
        <v>86.7</v>
      </c>
      <c r="I42" s="12">
        <v>74.15</v>
      </c>
      <c r="J42" s="19">
        <v>83.76</v>
      </c>
      <c r="K42" s="21">
        <f t="shared" si="0"/>
        <v>77.1695</v>
      </c>
    </row>
    <row r="43" spans="1:11" ht="18.75" customHeight="1">
      <c r="A43" s="11">
        <v>40</v>
      </c>
      <c r="B43" s="10" t="str">
        <f>"2022016"</f>
        <v>2022016</v>
      </c>
      <c r="C43" s="10" t="s">
        <v>19</v>
      </c>
      <c r="D43" s="10" t="s">
        <v>13</v>
      </c>
      <c r="E43" s="10" t="str">
        <f>"刘雪龙"</f>
        <v>刘雪龙</v>
      </c>
      <c r="F43" s="10" t="str">
        <f>"20229120219"</f>
        <v>20229120219</v>
      </c>
      <c r="G43" s="12">
        <v>82.5</v>
      </c>
      <c r="H43" s="12">
        <v>100</v>
      </c>
      <c r="I43" s="12">
        <v>91.25</v>
      </c>
      <c r="J43" s="10">
        <v>83.8</v>
      </c>
      <c r="K43" s="21">
        <f t="shared" si="0"/>
        <v>81.4725</v>
      </c>
    </row>
    <row r="44" spans="1:11" ht="18.75" customHeight="1">
      <c r="A44" s="11">
        <v>41</v>
      </c>
      <c r="B44" s="10" t="str">
        <f>"2022016"</f>
        <v>2022016</v>
      </c>
      <c r="C44" s="10" t="s">
        <v>19</v>
      </c>
      <c r="D44" s="10" t="s">
        <v>13</v>
      </c>
      <c r="E44" s="10" t="str">
        <f>"马锐"</f>
        <v>马锐</v>
      </c>
      <c r="F44" s="10" t="str">
        <f>"20229120222"</f>
        <v>20229120222</v>
      </c>
      <c r="G44" s="12">
        <v>88.6</v>
      </c>
      <c r="H44" s="12">
        <v>103.34</v>
      </c>
      <c r="I44" s="12">
        <v>95.97</v>
      </c>
      <c r="J44" s="10">
        <v>78.2</v>
      </c>
      <c r="K44" s="21">
        <f t="shared" si="0"/>
        <v>78.7325</v>
      </c>
    </row>
    <row r="45" spans="1:11" ht="18.75" customHeight="1">
      <c r="A45" s="11">
        <v>42</v>
      </c>
      <c r="B45" s="10" t="str">
        <f>"2022016"</f>
        <v>2022016</v>
      </c>
      <c r="C45" s="10" t="s">
        <v>19</v>
      </c>
      <c r="D45" s="10" t="s">
        <v>13</v>
      </c>
      <c r="E45" s="10" t="str">
        <f>"李佩佩"</f>
        <v>李佩佩</v>
      </c>
      <c r="F45" s="10" t="str">
        <f>"20229120216"</f>
        <v>20229120216</v>
      </c>
      <c r="G45" s="12">
        <v>78</v>
      </c>
      <c r="H45" s="12">
        <v>99.48</v>
      </c>
      <c r="I45" s="12">
        <v>88.74</v>
      </c>
      <c r="J45" s="10">
        <v>80.2</v>
      </c>
      <c r="K45" s="21">
        <f t="shared" si="0"/>
        <v>78.325</v>
      </c>
    </row>
    <row r="46" spans="1:11" ht="18.75" customHeight="1">
      <c r="A46" s="11">
        <v>43</v>
      </c>
      <c r="B46" s="10" t="str">
        <f>"2022016"</f>
        <v>2022016</v>
      </c>
      <c r="C46" s="10" t="s">
        <v>19</v>
      </c>
      <c r="D46" s="10" t="s">
        <v>13</v>
      </c>
      <c r="E46" s="10" t="str">
        <f>"王晗"</f>
        <v>王晗</v>
      </c>
      <c r="F46" s="10" t="str">
        <f>"20229120221"</f>
        <v>20229120221</v>
      </c>
      <c r="G46" s="12">
        <v>79.3</v>
      </c>
      <c r="H46" s="12">
        <v>95.94</v>
      </c>
      <c r="I46" s="12">
        <v>87.62</v>
      </c>
      <c r="J46" s="10">
        <v>78.4</v>
      </c>
      <c r="K46" s="21">
        <f t="shared" si="0"/>
        <v>76.78500000000001</v>
      </c>
    </row>
    <row r="47" spans="1:11" ht="18.75" customHeight="1">
      <c r="A47" s="11">
        <v>44</v>
      </c>
      <c r="B47" s="10" t="str">
        <f>"2022017"</f>
        <v>2022017</v>
      </c>
      <c r="C47" s="10" t="s">
        <v>20</v>
      </c>
      <c r="D47" s="10" t="s">
        <v>13</v>
      </c>
      <c r="E47" s="10" t="str">
        <f>"王天慧"</f>
        <v>王天慧</v>
      </c>
      <c r="F47" s="10" t="str">
        <f>"20229120427"</f>
        <v>20229120427</v>
      </c>
      <c r="G47" s="12">
        <v>75.6</v>
      </c>
      <c r="H47" s="12">
        <v>74.8</v>
      </c>
      <c r="I47" s="12">
        <v>75.2</v>
      </c>
      <c r="J47" s="19">
        <v>82.16</v>
      </c>
      <c r="K47" s="21">
        <f t="shared" si="0"/>
        <v>76.312</v>
      </c>
    </row>
    <row r="48" spans="1:11" ht="18.75" customHeight="1">
      <c r="A48" s="11">
        <v>45</v>
      </c>
      <c r="B48" s="10" t="str">
        <f aca="true" t="shared" si="4" ref="B48:B67">"2022018"</f>
        <v>2022018</v>
      </c>
      <c r="C48" s="10" t="s">
        <v>12</v>
      </c>
      <c r="D48" s="10" t="s">
        <v>21</v>
      </c>
      <c r="E48" s="10" t="str">
        <f>"徐玲莉"</f>
        <v>徐玲莉</v>
      </c>
      <c r="F48" s="10" t="str">
        <f>"20229120708"</f>
        <v>20229120708</v>
      </c>
      <c r="G48" s="12">
        <v>88.1</v>
      </c>
      <c r="H48" s="12">
        <v>94.8</v>
      </c>
      <c r="I48" s="12">
        <v>91.45</v>
      </c>
      <c r="J48" s="19">
        <v>85.34</v>
      </c>
      <c r="K48" s="21">
        <f t="shared" si="0"/>
        <v>82.6005</v>
      </c>
    </row>
    <row r="49" spans="1:11" ht="18.75" customHeight="1">
      <c r="A49" s="11">
        <v>46</v>
      </c>
      <c r="B49" s="10" t="str">
        <f t="shared" si="4"/>
        <v>2022018</v>
      </c>
      <c r="C49" s="10" t="s">
        <v>12</v>
      </c>
      <c r="D49" s="10" t="s">
        <v>21</v>
      </c>
      <c r="E49" s="10" t="str">
        <f>"李旭峰"</f>
        <v>李旭峰</v>
      </c>
      <c r="F49" s="10" t="str">
        <f>"20229120726"</f>
        <v>20229120726</v>
      </c>
      <c r="G49" s="12">
        <v>85.8</v>
      </c>
      <c r="H49" s="12">
        <v>94.9</v>
      </c>
      <c r="I49" s="12">
        <v>90.35</v>
      </c>
      <c r="J49" s="19">
        <v>85.44</v>
      </c>
      <c r="K49" s="21">
        <f t="shared" si="0"/>
        <v>82.3955</v>
      </c>
    </row>
    <row r="50" spans="1:11" ht="18.75" customHeight="1">
      <c r="A50" s="11">
        <v>47</v>
      </c>
      <c r="B50" s="10" t="str">
        <f t="shared" si="4"/>
        <v>2022018</v>
      </c>
      <c r="C50" s="10" t="s">
        <v>12</v>
      </c>
      <c r="D50" s="10" t="s">
        <v>21</v>
      </c>
      <c r="E50" s="10" t="str">
        <f>"刁敏"</f>
        <v>刁敏</v>
      </c>
      <c r="F50" s="10" t="str">
        <f>"20229120703"</f>
        <v>20229120703</v>
      </c>
      <c r="G50" s="12">
        <v>90.5</v>
      </c>
      <c r="H50" s="12">
        <v>91.2</v>
      </c>
      <c r="I50" s="12">
        <v>90.85</v>
      </c>
      <c r="J50" s="19">
        <v>84.48</v>
      </c>
      <c r="K50" s="21">
        <f t="shared" si="0"/>
        <v>81.8485</v>
      </c>
    </row>
    <row r="51" spans="1:11" ht="18.75" customHeight="1">
      <c r="A51" s="11">
        <v>48</v>
      </c>
      <c r="B51" s="10" t="str">
        <f t="shared" si="4"/>
        <v>2022018</v>
      </c>
      <c r="C51" s="10" t="s">
        <v>12</v>
      </c>
      <c r="D51" s="10" t="s">
        <v>21</v>
      </c>
      <c r="E51" s="10" t="str">
        <f>"潘媛媛"</f>
        <v>潘媛媛</v>
      </c>
      <c r="F51" s="10" t="str">
        <f>"20229120706"</f>
        <v>20229120706</v>
      </c>
      <c r="G51" s="12">
        <v>98.2</v>
      </c>
      <c r="H51" s="12">
        <v>86.1</v>
      </c>
      <c r="I51" s="12">
        <v>92.15</v>
      </c>
      <c r="J51" s="19">
        <v>83.24</v>
      </c>
      <c r="K51" s="21">
        <f t="shared" si="0"/>
        <v>81.3055</v>
      </c>
    </row>
    <row r="52" spans="1:11" ht="18.75" customHeight="1">
      <c r="A52" s="11">
        <v>49</v>
      </c>
      <c r="B52" s="10" t="str">
        <f t="shared" si="4"/>
        <v>2022018</v>
      </c>
      <c r="C52" s="10" t="s">
        <v>12</v>
      </c>
      <c r="D52" s="10" t="s">
        <v>21</v>
      </c>
      <c r="E52" s="10" t="str">
        <f>"任利军"</f>
        <v>任利军</v>
      </c>
      <c r="F52" s="10" t="str">
        <f>"20229120718"</f>
        <v>20229120718</v>
      </c>
      <c r="G52" s="12">
        <v>85.4</v>
      </c>
      <c r="H52" s="12">
        <v>91.4</v>
      </c>
      <c r="I52" s="12">
        <v>88.4</v>
      </c>
      <c r="J52" s="19">
        <v>84.06</v>
      </c>
      <c r="K52" s="21">
        <f t="shared" si="0"/>
        <v>80.94200000000001</v>
      </c>
    </row>
    <row r="53" spans="1:11" ht="18.75" customHeight="1">
      <c r="A53" s="11">
        <v>50</v>
      </c>
      <c r="B53" s="10" t="str">
        <f t="shared" si="4"/>
        <v>2022018</v>
      </c>
      <c r="C53" s="10" t="s">
        <v>12</v>
      </c>
      <c r="D53" s="10" t="s">
        <v>21</v>
      </c>
      <c r="E53" s="10" t="str">
        <f>"张晓影"</f>
        <v>张晓影</v>
      </c>
      <c r="F53" s="10" t="str">
        <f>"20229120711"</f>
        <v>20229120711</v>
      </c>
      <c r="G53" s="12">
        <v>92.1</v>
      </c>
      <c r="H53" s="12">
        <v>77.3</v>
      </c>
      <c r="I53" s="12">
        <v>84.7</v>
      </c>
      <c r="J53" s="20">
        <v>85.34</v>
      </c>
      <c r="K53" s="21">
        <f t="shared" si="0"/>
        <v>80.913</v>
      </c>
    </row>
    <row r="54" spans="1:11" ht="18.75" customHeight="1">
      <c r="A54" s="11">
        <v>51</v>
      </c>
      <c r="B54" s="10" t="str">
        <f t="shared" si="4"/>
        <v>2022018</v>
      </c>
      <c r="C54" s="10" t="s">
        <v>12</v>
      </c>
      <c r="D54" s="10" t="s">
        <v>21</v>
      </c>
      <c r="E54" s="10" t="str">
        <f>"黄丹丹"</f>
        <v>黄丹丹</v>
      </c>
      <c r="F54" s="10" t="str">
        <f>"20229120723"</f>
        <v>20229120723</v>
      </c>
      <c r="G54" s="12">
        <v>88.1</v>
      </c>
      <c r="H54" s="12">
        <v>87</v>
      </c>
      <c r="I54" s="12">
        <v>87.55</v>
      </c>
      <c r="J54" s="19">
        <v>83.2</v>
      </c>
      <c r="K54" s="21">
        <f t="shared" si="0"/>
        <v>80.1275</v>
      </c>
    </row>
    <row r="55" spans="1:11" ht="18.75" customHeight="1">
      <c r="A55" s="11">
        <v>52</v>
      </c>
      <c r="B55" s="10" t="str">
        <f t="shared" si="4"/>
        <v>2022018</v>
      </c>
      <c r="C55" s="10" t="s">
        <v>12</v>
      </c>
      <c r="D55" s="10" t="s">
        <v>21</v>
      </c>
      <c r="E55" s="10" t="str">
        <f>"李二秀"</f>
        <v>李二秀</v>
      </c>
      <c r="F55" s="10" t="str">
        <f>"20229120704"</f>
        <v>20229120704</v>
      </c>
      <c r="G55" s="12">
        <v>75.3</v>
      </c>
      <c r="H55" s="12">
        <v>87.9</v>
      </c>
      <c r="I55" s="12">
        <v>81.6</v>
      </c>
      <c r="J55" s="19">
        <v>84.26</v>
      </c>
      <c r="K55" s="21">
        <f t="shared" si="0"/>
        <v>79.382</v>
      </c>
    </row>
    <row r="56" spans="1:11" ht="18.75" customHeight="1">
      <c r="A56" s="11">
        <v>53</v>
      </c>
      <c r="B56" s="10" t="str">
        <f t="shared" si="4"/>
        <v>2022018</v>
      </c>
      <c r="C56" s="10" t="s">
        <v>12</v>
      </c>
      <c r="D56" s="10" t="s">
        <v>21</v>
      </c>
      <c r="E56" s="10" t="str">
        <f>"李尚峥"</f>
        <v>李尚峥</v>
      </c>
      <c r="F56" s="10" t="str">
        <f>"20229120716"</f>
        <v>20229120716</v>
      </c>
      <c r="G56" s="12">
        <v>83.2</v>
      </c>
      <c r="H56" s="12">
        <v>89.8</v>
      </c>
      <c r="I56" s="12">
        <v>86.5</v>
      </c>
      <c r="J56" s="19">
        <v>81.9</v>
      </c>
      <c r="K56" s="21">
        <f t="shared" si="0"/>
        <v>78.955</v>
      </c>
    </row>
    <row r="57" spans="1:11" ht="18.75" customHeight="1">
      <c r="A57" s="11">
        <v>54</v>
      </c>
      <c r="B57" s="10" t="str">
        <f t="shared" si="4"/>
        <v>2022018</v>
      </c>
      <c r="C57" s="10" t="s">
        <v>12</v>
      </c>
      <c r="D57" s="10" t="s">
        <v>21</v>
      </c>
      <c r="E57" s="10" t="str">
        <f>"焦雪儿"</f>
        <v>焦雪儿</v>
      </c>
      <c r="F57" s="10" t="str">
        <f>"20229120715"</f>
        <v>20229120715</v>
      </c>
      <c r="G57" s="12">
        <v>80.2</v>
      </c>
      <c r="H57" s="12">
        <v>92.3</v>
      </c>
      <c r="I57" s="12">
        <v>86.25</v>
      </c>
      <c r="J57" s="19">
        <v>81.12</v>
      </c>
      <c r="K57" s="21">
        <f t="shared" si="0"/>
        <v>78.34649999999999</v>
      </c>
    </row>
    <row r="58" spans="1:11" ht="18.75" customHeight="1">
      <c r="A58" s="11">
        <v>55</v>
      </c>
      <c r="B58" s="10" t="str">
        <f t="shared" si="4"/>
        <v>2022018</v>
      </c>
      <c r="C58" s="10" t="s">
        <v>12</v>
      </c>
      <c r="D58" s="10" t="s">
        <v>21</v>
      </c>
      <c r="E58" s="10" t="str">
        <f>"   武习习"</f>
        <v>   武习习</v>
      </c>
      <c r="F58" s="10" t="str">
        <f>"20229120722"</f>
        <v>20229120722</v>
      </c>
      <c r="G58" s="12">
        <v>95.1</v>
      </c>
      <c r="H58" s="12">
        <v>101.3</v>
      </c>
      <c r="I58" s="12">
        <v>98.2</v>
      </c>
      <c r="J58" s="19">
        <v>76.8</v>
      </c>
      <c r="K58" s="21">
        <f t="shared" si="0"/>
        <v>78.31</v>
      </c>
    </row>
    <row r="59" spans="1:11" ht="18.75" customHeight="1">
      <c r="A59" s="11">
        <v>56</v>
      </c>
      <c r="B59" s="10" t="str">
        <f t="shared" si="4"/>
        <v>2022018</v>
      </c>
      <c r="C59" s="10" t="s">
        <v>12</v>
      </c>
      <c r="D59" s="10" t="s">
        <v>21</v>
      </c>
      <c r="E59" s="10" t="str">
        <f>"尚立平"</f>
        <v>尚立平</v>
      </c>
      <c r="F59" s="10" t="str">
        <f>"20229120701"</f>
        <v>20229120701</v>
      </c>
      <c r="G59" s="12">
        <v>86.7</v>
      </c>
      <c r="H59" s="12">
        <v>84.7</v>
      </c>
      <c r="I59" s="12">
        <v>85.7</v>
      </c>
      <c r="J59" s="19">
        <v>80.3</v>
      </c>
      <c r="K59" s="21">
        <f t="shared" si="0"/>
        <v>77.63499999999999</v>
      </c>
    </row>
    <row r="60" spans="1:11" s="2" customFormat="1" ht="18.75" customHeight="1">
      <c r="A60" s="11">
        <v>57</v>
      </c>
      <c r="B60" s="10" t="str">
        <f t="shared" si="4"/>
        <v>2022018</v>
      </c>
      <c r="C60" s="10" t="s">
        <v>12</v>
      </c>
      <c r="D60" s="10" t="s">
        <v>21</v>
      </c>
      <c r="E60" s="10" t="str">
        <f>"张强"</f>
        <v>张强</v>
      </c>
      <c r="F60" s="10" t="str">
        <f>"20229120721"</f>
        <v>20229120721</v>
      </c>
      <c r="G60" s="12">
        <v>61</v>
      </c>
      <c r="H60" s="12">
        <v>88.1</v>
      </c>
      <c r="I60" s="12">
        <v>74.55</v>
      </c>
      <c r="J60" s="19">
        <v>84.14</v>
      </c>
      <c r="K60" s="21">
        <f t="shared" si="0"/>
        <v>77.5355</v>
      </c>
    </row>
    <row r="61" spans="1:11" s="5" customFormat="1" ht="18.75" customHeight="1">
      <c r="A61" s="11">
        <v>58</v>
      </c>
      <c r="B61" s="10" t="str">
        <f t="shared" si="4"/>
        <v>2022018</v>
      </c>
      <c r="C61" s="10" t="s">
        <v>12</v>
      </c>
      <c r="D61" s="10" t="s">
        <v>21</v>
      </c>
      <c r="E61" s="10" t="str">
        <f>"郭曼娜"</f>
        <v>郭曼娜</v>
      </c>
      <c r="F61" s="10" t="str">
        <f>"20229120713"</f>
        <v>20229120713</v>
      </c>
      <c r="G61" s="12">
        <v>80.4</v>
      </c>
      <c r="H61" s="12">
        <v>84.8</v>
      </c>
      <c r="I61" s="12">
        <v>82.6</v>
      </c>
      <c r="J61" s="20">
        <v>81.24</v>
      </c>
      <c r="K61" s="21">
        <f t="shared" si="0"/>
        <v>77.518</v>
      </c>
    </row>
    <row r="62" spans="1:11" ht="18.75" customHeight="1">
      <c r="A62" s="11">
        <v>59</v>
      </c>
      <c r="B62" s="10" t="str">
        <f t="shared" si="4"/>
        <v>2022018</v>
      </c>
      <c r="C62" s="10" t="s">
        <v>12</v>
      </c>
      <c r="D62" s="10" t="s">
        <v>21</v>
      </c>
      <c r="E62" s="10" t="str">
        <f>"李永衡"</f>
        <v>李永衡</v>
      </c>
      <c r="F62" s="10" t="str">
        <f>"20229120717"</f>
        <v>20229120717</v>
      </c>
      <c r="G62" s="12">
        <v>97.6</v>
      </c>
      <c r="H62" s="12">
        <v>93</v>
      </c>
      <c r="I62" s="12">
        <v>95.3</v>
      </c>
      <c r="J62" s="19">
        <v>72.4</v>
      </c>
      <c r="K62" s="21">
        <f t="shared" si="0"/>
        <v>74.505</v>
      </c>
    </row>
    <row r="63" spans="1:11" ht="18.75" customHeight="1">
      <c r="A63" s="11">
        <v>60</v>
      </c>
      <c r="B63" s="10" t="str">
        <f t="shared" si="4"/>
        <v>2022018</v>
      </c>
      <c r="C63" s="10" t="s">
        <v>12</v>
      </c>
      <c r="D63" s="10" t="s">
        <v>21</v>
      </c>
      <c r="E63" s="10" t="str">
        <f>"焦海峰"</f>
        <v>焦海峰</v>
      </c>
      <c r="F63" s="10" t="str">
        <f>"20229120719"</f>
        <v>20229120719</v>
      </c>
      <c r="G63" s="12">
        <v>89.3</v>
      </c>
      <c r="H63" s="12">
        <v>85.2</v>
      </c>
      <c r="I63" s="12">
        <v>87.25</v>
      </c>
      <c r="J63" s="19">
        <v>74.46</v>
      </c>
      <c r="K63" s="21">
        <f t="shared" si="0"/>
        <v>73.9345</v>
      </c>
    </row>
    <row r="64" spans="1:11" ht="18.75" customHeight="1">
      <c r="A64" s="11">
        <v>61</v>
      </c>
      <c r="B64" s="10" t="str">
        <f t="shared" si="4"/>
        <v>2022018</v>
      </c>
      <c r="C64" s="10" t="s">
        <v>12</v>
      </c>
      <c r="D64" s="10" t="s">
        <v>21</v>
      </c>
      <c r="E64" s="10" t="str">
        <f>"张晓艳"</f>
        <v>张晓艳</v>
      </c>
      <c r="F64" s="10" t="str">
        <f>"20229120709"</f>
        <v>20229120709</v>
      </c>
      <c r="G64" s="12">
        <v>66.5</v>
      </c>
      <c r="H64" s="12">
        <v>78</v>
      </c>
      <c r="I64" s="12">
        <v>72.25</v>
      </c>
      <c r="J64" s="19">
        <v>78.5</v>
      </c>
      <c r="K64" s="21">
        <f t="shared" si="0"/>
        <v>73.01249999999999</v>
      </c>
    </row>
    <row r="65" spans="1:11" ht="18.75" customHeight="1">
      <c r="A65" s="11">
        <v>62</v>
      </c>
      <c r="B65" s="10" t="str">
        <f t="shared" si="4"/>
        <v>2022018</v>
      </c>
      <c r="C65" s="10" t="s">
        <v>12</v>
      </c>
      <c r="D65" s="10" t="s">
        <v>21</v>
      </c>
      <c r="E65" s="10" t="str">
        <f>"刘军"</f>
        <v>刘军</v>
      </c>
      <c r="F65" s="10" t="str">
        <f>"20229120714"</f>
        <v>20229120714</v>
      </c>
      <c r="G65" s="12">
        <v>74.8</v>
      </c>
      <c r="H65" s="12">
        <v>80.9</v>
      </c>
      <c r="I65" s="12">
        <v>77.85</v>
      </c>
      <c r="J65" s="19">
        <v>73.98</v>
      </c>
      <c r="K65" s="21">
        <f t="shared" si="0"/>
        <v>71.2485</v>
      </c>
    </row>
    <row r="66" spans="1:11" ht="18.75" customHeight="1">
      <c r="A66" s="11">
        <v>63</v>
      </c>
      <c r="B66" s="10" t="str">
        <f t="shared" si="4"/>
        <v>2022018</v>
      </c>
      <c r="C66" s="10" t="s">
        <v>12</v>
      </c>
      <c r="D66" s="10" t="s">
        <v>21</v>
      </c>
      <c r="E66" s="10" t="str">
        <f>"徐敏"</f>
        <v>徐敏</v>
      </c>
      <c r="F66" s="10" t="str">
        <f>"20229120727"</f>
        <v>20229120727</v>
      </c>
      <c r="G66" s="12">
        <v>76.7</v>
      </c>
      <c r="H66" s="12">
        <v>35.1</v>
      </c>
      <c r="I66" s="12">
        <v>55.9</v>
      </c>
      <c r="J66" s="19">
        <v>69.74</v>
      </c>
      <c r="K66" s="21">
        <f t="shared" si="0"/>
        <v>62.79299999999999</v>
      </c>
    </row>
    <row r="67" spans="1:11" ht="18.75" customHeight="1">
      <c r="A67" s="11">
        <v>64</v>
      </c>
      <c r="B67" s="10" t="str">
        <f t="shared" si="4"/>
        <v>2022018</v>
      </c>
      <c r="C67" s="10" t="s">
        <v>12</v>
      </c>
      <c r="D67" s="10" t="s">
        <v>21</v>
      </c>
      <c r="E67" s="10" t="str">
        <f>"田静"</f>
        <v>田静</v>
      </c>
      <c r="F67" s="10" t="str">
        <f>"20229120720"</f>
        <v>20229120720</v>
      </c>
      <c r="G67" s="12">
        <v>45.7</v>
      </c>
      <c r="H67" s="12">
        <v>64.3</v>
      </c>
      <c r="I67" s="12">
        <v>55</v>
      </c>
      <c r="J67" s="19">
        <v>68.94</v>
      </c>
      <c r="K67" s="21">
        <f t="shared" si="0"/>
        <v>62.007999999999996</v>
      </c>
    </row>
    <row r="68" spans="1:11" ht="18.75" customHeight="1">
      <c r="A68" s="11">
        <v>65</v>
      </c>
      <c r="B68" s="10" t="str">
        <f aca="true" t="shared" si="5" ref="B68:B88">"2022019"</f>
        <v>2022019</v>
      </c>
      <c r="C68" s="10" t="s">
        <v>12</v>
      </c>
      <c r="D68" s="10" t="s">
        <v>21</v>
      </c>
      <c r="E68" s="10" t="str">
        <f>"江美想"</f>
        <v>江美想</v>
      </c>
      <c r="F68" s="10" t="str">
        <f>"20229120806"</f>
        <v>20229120806</v>
      </c>
      <c r="G68" s="12">
        <v>87</v>
      </c>
      <c r="H68" s="12">
        <v>89.4</v>
      </c>
      <c r="I68" s="12">
        <v>88.2</v>
      </c>
      <c r="J68" s="10">
        <v>81.96</v>
      </c>
      <c r="K68" s="21">
        <f aca="true" t="shared" si="6" ref="K68:K131">I68/1.2*0.3+J68*0.7</f>
        <v>79.422</v>
      </c>
    </row>
    <row r="69" spans="1:11" ht="18.75" customHeight="1">
      <c r="A69" s="11">
        <v>66</v>
      </c>
      <c r="B69" s="10" t="str">
        <f t="shared" si="5"/>
        <v>2022019</v>
      </c>
      <c r="C69" s="10" t="s">
        <v>12</v>
      </c>
      <c r="D69" s="10" t="s">
        <v>21</v>
      </c>
      <c r="E69" s="10" t="str">
        <f>"刘晓曼"</f>
        <v>刘晓曼</v>
      </c>
      <c r="F69" s="10" t="str">
        <f>"20229120813"</f>
        <v>20229120813</v>
      </c>
      <c r="G69" s="12">
        <v>93.5</v>
      </c>
      <c r="H69" s="12">
        <v>93.2</v>
      </c>
      <c r="I69" s="12">
        <v>93.35</v>
      </c>
      <c r="J69" s="10">
        <v>80.08</v>
      </c>
      <c r="K69" s="21">
        <f t="shared" si="6"/>
        <v>79.3935</v>
      </c>
    </row>
    <row r="70" spans="1:11" ht="18.75" customHeight="1">
      <c r="A70" s="11">
        <v>67</v>
      </c>
      <c r="B70" s="16" t="str">
        <f t="shared" si="5"/>
        <v>2022019</v>
      </c>
      <c r="C70" s="16" t="s">
        <v>12</v>
      </c>
      <c r="D70" s="16" t="s">
        <v>21</v>
      </c>
      <c r="E70" s="16" t="str">
        <f>"王琼"</f>
        <v>王琼</v>
      </c>
      <c r="F70" s="16" t="str">
        <f>"20229120816"</f>
        <v>20229120816</v>
      </c>
      <c r="G70" s="15">
        <v>94.6</v>
      </c>
      <c r="H70" s="15">
        <v>85.9</v>
      </c>
      <c r="I70" s="15">
        <v>90.25</v>
      </c>
      <c r="J70" s="10">
        <v>80.44</v>
      </c>
      <c r="K70" s="21">
        <f t="shared" si="6"/>
        <v>78.87049999999999</v>
      </c>
    </row>
    <row r="71" spans="1:11" ht="18.75" customHeight="1">
      <c r="A71" s="11">
        <v>68</v>
      </c>
      <c r="B71" s="10" t="str">
        <f t="shared" si="5"/>
        <v>2022019</v>
      </c>
      <c r="C71" s="10" t="s">
        <v>12</v>
      </c>
      <c r="D71" s="10" t="s">
        <v>21</v>
      </c>
      <c r="E71" s="10" t="str">
        <f>"杨盼盼"</f>
        <v>杨盼盼</v>
      </c>
      <c r="F71" s="10" t="str">
        <f>"20229120814"</f>
        <v>20229120814</v>
      </c>
      <c r="G71" s="12">
        <v>89.8</v>
      </c>
      <c r="H71" s="12">
        <v>90.6</v>
      </c>
      <c r="I71" s="12">
        <v>90.2</v>
      </c>
      <c r="J71" s="10">
        <v>78.74</v>
      </c>
      <c r="K71" s="21">
        <f t="shared" si="6"/>
        <v>77.66799999999999</v>
      </c>
    </row>
    <row r="72" spans="1:11" ht="18.75" customHeight="1">
      <c r="A72" s="11">
        <v>69</v>
      </c>
      <c r="B72" s="10" t="str">
        <f t="shared" si="5"/>
        <v>2022019</v>
      </c>
      <c r="C72" s="10" t="s">
        <v>12</v>
      </c>
      <c r="D72" s="10" t="s">
        <v>21</v>
      </c>
      <c r="E72" s="10" t="str">
        <f>"王玉红"</f>
        <v>王玉红</v>
      </c>
      <c r="F72" s="10" t="str">
        <f>"20229120820"</f>
        <v>20229120820</v>
      </c>
      <c r="G72" s="12">
        <v>77.2</v>
      </c>
      <c r="H72" s="12">
        <v>84.5</v>
      </c>
      <c r="I72" s="12">
        <v>80.85</v>
      </c>
      <c r="J72" s="10">
        <v>81.9</v>
      </c>
      <c r="K72" s="21">
        <f t="shared" si="6"/>
        <v>77.54249999999999</v>
      </c>
    </row>
    <row r="73" spans="1:11" ht="18.75" customHeight="1">
      <c r="A73" s="11">
        <v>70</v>
      </c>
      <c r="B73" s="10" t="str">
        <f t="shared" si="5"/>
        <v>2022019</v>
      </c>
      <c r="C73" s="10" t="s">
        <v>12</v>
      </c>
      <c r="D73" s="10" t="s">
        <v>21</v>
      </c>
      <c r="E73" s="10" t="str">
        <f>"解薇"</f>
        <v>解薇</v>
      </c>
      <c r="F73" s="10" t="str">
        <f>"20229120801"</f>
        <v>20229120801</v>
      </c>
      <c r="G73" s="12">
        <v>90.8</v>
      </c>
      <c r="H73" s="12">
        <v>78.2</v>
      </c>
      <c r="I73" s="12">
        <v>84.5</v>
      </c>
      <c r="J73" s="10">
        <v>79.38</v>
      </c>
      <c r="K73" s="21">
        <f t="shared" si="6"/>
        <v>76.691</v>
      </c>
    </row>
    <row r="74" spans="1:11" ht="18.75" customHeight="1">
      <c r="A74" s="11">
        <v>71</v>
      </c>
      <c r="B74" s="10" t="str">
        <f t="shared" si="5"/>
        <v>2022019</v>
      </c>
      <c r="C74" s="10" t="s">
        <v>12</v>
      </c>
      <c r="D74" s="10" t="s">
        <v>21</v>
      </c>
      <c r="E74" s="10" t="str">
        <f>"孙颖梅"</f>
        <v>孙颖梅</v>
      </c>
      <c r="F74" s="10" t="str">
        <f>"20229120817"</f>
        <v>20229120817</v>
      </c>
      <c r="G74" s="12">
        <v>88.4</v>
      </c>
      <c r="H74" s="12">
        <v>84.2</v>
      </c>
      <c r="I74" s="12">
        <v>86.3</v>
      </c>
      <c r="J74" s="10">
        <v>78.52</v>
      </c>
      <c r="K74" s="21">
        <f t="shared" si="6"/>
        <v>76.53899999999999</v>
      </c>
    </row>
    <row r="75" spans="1:11" ht="18.75" customHeight="1">
      <c r="A75" s="11">
        <v>72</v>
      </c>
      <c r="B75" s="10" t="str">
        <f t="shared" si="5"/>
        <v>2022019</v>
      </c>
      <c r="C75" s="10" t="s">
        <v>12</v>
      </c>
      <c r="D75" s="10" t="s">
        <v>21</v>
      </c>
      <c r="E75" s="10" t="str">
        <f>"孙娜娜"</f>
        <v>孙娜娜</v>
      </c>
      <c r="F75" s="10" t="str">
        <f>"20229120815"</f>
        <v>20229120815</v>
      </c>
      <c r="G75" s="12">
        <v>80.2</v>
      </c>
      <c r="H75" s="12">
        <v>89</v>
      </c>
      <c r="I75" s="12">
        <v>84.6</v>
      </c>
      <c r="J75" s="10">
        <v>78.82</v>
      </c>
      <c r="K75" s="21">
        <f t="shared" si="6"/>
        <v>76.32399999999998</v>
      </c>
    </row>
    <row r="76" spans="1:11" ht="18.75" customHeight="1">
      <c r="A76" s="11">
        <v>73</v>
      </c>
      <c r="B76" s="10" t="str">
        <f t="shared" si="5"/>
        <v>2022019</v>
      </c>
      <c r="C76" s="10" t="s">
        <v>12</v>
      </c>
      <c r="D76" s="10" t="s">
        <v>21</v>
      </c>
      <c r="E76" s="10" t="str">
        <f>"朱琰"</f>
        <v>朱琰</v>
      </c>
      <c r="F76" s="10" t="str">
        <f>"20229120810"</f>
        <v>20229120810</v>
      </c>
      <c r="G76" s="12">
        <v>92.4</v>
      </c>
      <c r="H76" s="12">
        <v>79.8</v>
      </c>
      <c r="I76" s="12">
        <v>86.1</v>
      </c>
      <c r="J76" s="10">
        <v>78.26</v>
      </c>
      <c r="K76" s="21">
        <f t="shared" si="6"/>
        <v>76.307</v>
      </c>
    </row>
    <row r="77" spans="1:11" ht="18.75" customHeight="1">
      <c r="A77" s="11">
        <v>74</v>
      </c>
      <c r="B77" s="10" t="str">
        <f t="shared" si="5"/>
        <v>2022019</v>
      </c>
      <c r="C77" s="10" t="s">
        <v>12</v>
      </c>
      <c r="D77" s="10" t="s">
        <v>21</v>
      </c>
      <c r="E77" s="10" t="str">
        <f>"江慧琳"</f>
        <v>江慧琳</v>
      </c>
      <c r="F77" s="10" t="str">
        <f>"20229120821"</f>
        <v>20229120821</v>
      </c>
      <c r="G77" s="12">
        <v>91.2</v>
      </c>
      <c r="H77" s="12">
        <v>81.3</v>
      </c>
      <c r="I77" s="12">
        <v>86.25</v>
      </c>
      <c r="J77" s="10">
        <v>78.06</v>
      </c>
      <c r="K77" s="21">
        <f t="shared" si="6"/>
        <v>76.2045</v>
      </c>
    </row>
    <row r="78" spans="1:11" ht="18.75" customHeight="1">
      <c r="A78" s="11">
        <v>75</v>
      </c>
      <c r="B78" s="10" t="str">
        <f t="shared" si="5"/>
        <v>2022019</v>
      </c>
      <c r="C78" s="10" t="s">
        <v>12</v>
      </c>
      <c r="D78" s="10" t="s">
        <v>21</v>
      </c>
      <c r="E78" s="10" t="str">
        <f>"汪青"</f>
        <v>汪青</v>
      </c>
      <c r="F78" s="10" t="str">
        <f>"20229120805"</f>
        <v>20229120805</v>
      </c>
      <c r="G78" s="12">
        <v>70.9</v>
      </c>
      <c r="H78" s="12">
        <v>81.2</v>
      </c>
      <c r="I78" s="12">
        <v>76.05</v>
      </c>
      <c r="J78" s="10">
        <v>81.7</v>
      </c>
      <c r="K78" s="21">
        <f t="shared" si="6"/>
        <v>76.2025</v>
      </c>
    </row>
    <row r="79" spans="1:11" ht="18.75" customHeight="1">
      <c r="A79" s="11">
        <v>76</v>
      </c>
      <c r="B79" s="10" t="str">
        <f t="shared" si="5"/>
        <v>2022019</v>
      </c>
      <c r="C79" s="10" t="s">
        <v>12</v>
      </c>
      <c r="D79" s="10" t="s">
        <v>21</v>
      </c>
      <c r="E79" s="10" t="str">
        <f>"刘利"</f>
        <v>刘利</v>
      </c>
      <c r="F79" s="10" t="str">
        <f>"20229120804"</f>
        <v>20229120804</v>
      </c>
      <c r="G79" s="12">
        <v>82.4</v>
      </c>
      <c r="H79" s="12">
        <v>78.8</v>
      </c>
      <c r="I79" s="12">
        <v>80.6</v>
      </c>
      <c r="J79" s="10">
        <v>79.92</v>
      </c>
      <c r="K79" s="21">
        <f t="shared" si="6"/>
        <v>76.094</v>
      </c>
    </row>
    <row r="80" spans="1:11" ht="18.75" customHeight="1">
      <c r="A80" s="11">
        <v>77</v>
      </c>
      <c r="B80" s="10" t="str">
        <f t="shared" si="5"/>
        <v>2022019</v>
      </c>
      <c r="C80" s="10" t="s">
        <v>12</v>
      </c>
      <c r="D80" s="10" t="s">
        <v>21</v>
      </c>
      <c r="E80" s="10" t="str">
        <f>"孙悦"</f>
        <v>孙悦</v>
      </c>
      <c r="F80" s="10" t="str">
        <f>"20229120808"</f>
        <v>20229120808</v>
      </c>
      <c r="G80" s="12">
        <v>76.5</v>
      </c>
      <c r="H80" s="12">
        <v>83.9</v>
      </c>
      <c r="I80" s="12">
        <v>80.2</v>
      </c>
      <c r="J80" s="10">
        <v>79.94</v>
      </c>
      <c r="K80" s="21">
        <f t="shared" si="6"/>
        <v>76.008</v>
      </c>
    </row>
    <row r="81" spans="1:11" ht="18.75" customHeight="1">
      <c r="A81" s="11">
        <v>78</v>
      </c>
      <c r="B81" s="10" t="str">
        <f t="shared" si="5"/>
        <v>2022019</v>
      </c>
      <c r="C81" s="10" t="s">
        <v>12</v>
      </c>
      <c r="D81" s="10" t="s">
        <v>21</v>
      </c>
      <c r="E81" s="10" t="str">
        <f>"江琳"</f>
        <v>江琳</v>
      </c>
      <c r="F81" s="10" t="str">
        <f>"20229120802"</f>
        <v>20229120802</v>
      </c>
      <c r="G81" s="12">
        <v>88.7</v>
      </c>
      <c r="H81" s="12">
        <v>86</v>
      </c>
      <c r="I81" s="12">
        <v>87.35</v>
      </c>
      <c r="J81" s="10">
        <v>76.86</v>
      </c>
      <c r="K81" s="21">
        <f t="shared" si="6"/>
        <v>75.6395</v>
      </c>
    </row>
    <row r="82" spans="1:11" ht="18.75" customHeight="1">
      <c r="A82" s="11">
        <v>79</v>
      </c>
      <c r="B82" s="10" t="str">
        <f t="shared" si="5"/>
        <v>2022019</v>
      </c>
      <c r="C82" s="10" t="s">
        <v>12</v>
      </c>
      <c r="D82" s="10" t="s">
        <v>21</v>
      </c>
      <c r="E82" s="10" t="str">
        <f>"王芬"</f>
        <v>王芬</v>
      </c>
      <c r="F82" s="10" t="str">
        <f>"20229120803"</f>
        <v>20229120803</v>
      </c>
      <c r="G82" s="12">
        <v>80.9</v>
      </c>
      <c r="H82" s="12">
        <v>69.4</v>
      </c>
      <c r="I82" s="12">
        <v>75.15</v>
      </c>
      <c r="J82" s="10">
        <v>80.78</v>
      </c>
      <c r="K82" s="21">
        <f t="shared" si="6"/>
        <v>75.3335</v>
      </c>
    </row>
    <row r="83" spans="1:11" ht="18.75" customHeight="1">
      <c r="A83" s="11">
        <v>80</v>
      </c>
      <c r="B83" s="10" t="str">
        <f t="shared" si="5"/>
        <v>2022019</v>
      </c>
      <c r="C83" s="10" t="s">
        <v>12</v>
      </c>
      <c r="D83" s="10" t="s">
        <v>21</v>
      </c>
      <c r="E83" s="10" t="str">
        <f>"刘慧"</f>
        <v>刘慧</v>
      </c>
      <c r="F83" s="10" t="str">
        <f>"20229120811"</f>
        <v>20229120811</v>
      </c>
      <c r="G83" s="12">
        <v>79.1</v>
      </c>
      <c r="H83" s="12">
        <v>68.4</v>
      </c>
      <c r="I83" s="12">
        <v>73.75</v>
      </c>
      <c r="J83" s="10">
        <v>79.04</v>
      </c>
      <c r="K83" s="21">
        <f t="shared" si="6"/>
        <v>73.7655</v>
      </c>
    </row>
    <row r="84" spans="1:11" ht="18.75" customHeight="1">
      <c r="A84" s="11">
        <v>81</v>
      </c>
      <c r="B84" s="10" t="str">
        <f t="shared" si="5"/>
        <v>2022019</v>
      </c>
      <c r="C84" s="10" t="s">
        <v>12</v>
      </c>
      <c r="D84" s="10" t="s">
        <v>21</v>
      </c>
      <c r="E84" s="10" t="str">
        <f>"李涵"</f>
        <v>李涵</v>
      </c>
      <c r="F84" s="10" t="str">
        <f>"20229120822"</f>
        <v>20229120822</v>
      </c>
      <c r="G84" s="12">
        <v>70.2</v>
      </c>
      <c r="H84" s="12">
        <v>78.4</v>
      </c>
      <c r="I84" s="12">
        <v>74.3</v>
      </c>
      <c r="J84" s="10">
        <v>77.52</v>
      </c>
      <c r="K84" s="21">
        <f t="shared" si="6"/>
        <v>72.839</v>
      </c>
    </row>
    <row r="85" spans="1:11" ht="18.75" customHeight="1">
      <c r="A85" s="11">
        <v>82</v>
      </c>
      <c r="B85" s="10" t="str">
        <f t="shared" si="5"/>
        <v>2022019</v>
      </c>
      <c r="C85" s="10" t="s">
        <v>12</v>
      </c>
      <c r="D85" s="10" t="s">
        <v>21</v>
      </c>
      <c r="E85" s="10" t="str">
        <f>"陈淑艳"</f>
        <v>陈淑艳</v>
      </c>
      <c r="F85" s="10" t="str">
        <f>"20229120818"</f>
        <v>20229120818</v>
      </c>
      <c r="G85" s="12">
        <v>79</v>
      </c>
      <c r="H85" s="12">
        <v>92.3</v>
      </c>
      <c r="I85" s="12">
        <v>85.65</v>
      </c>
      <c r="J85" s="10">
        <v>72.64</v>
      </c>
      <c r="K85" s="21">
        <f t="shared" si="6"/>
        <v>72.26050000000001</v>
      </c>
    </row>
    <row r="86" spans="1:11" ht="18.75" customHeight="1">
      <c r="A86" s="11">
        <v>83</v>
      </c>
      <c r="B86" s="10" t="str">
        <f t="shared" si="5"/>
        <v>2022019</v>
      </c>
      <c r="C86" s="10" t="s">
        <v>12</v>
      </c>
      <c r="D86" s="10" t="s">
        <v>21</v>
      </c>
      <c r="E86" s="10" t="str">
        <f>"张利君"</f>
        <v>张利君</v>
      </c>
      <c r="F86" s="10" t="str">
        <f>"20229120812"</f>
        <v>20229120812</v>
      </c>
      <c r="G86" s="12">
        <v>50.7</v>
      </c>
      <c r="H86" s="12">
        <v>86.5</v>
      </c>
      <c r="I86" s="12">
        <v>68.6</v>
      </c>
      <c r="J86" s="10">
        <v>77.7</v>
      </c>
      <c r="K86" s="21">
        <f t="shared" si="6"/>
        <v>71.53999999999999</v>
      </c>
    </row>
    <row r="87" spans="1:11" ht="18.75" customHeight="1">
      <c r="A87" s="11">
        <v>84</v>
      </c>
      <c r="B87" s="10" t="str">
        <f t="shared" si="5"/>
        <v>2022019</v>
      </c>
      <c r="C87" s="10" t="s">
        <v>12</v>
      </c>
      <c r="D87" s="10" t="s">
        <v>21</v>
      </c>
      <c r="E87" s="10" t="str">
        <f>"刘伟"</f>
        <v>刘伟</v>
      </c>
      <c r="F87" s="10" t="str">
        <f>"20229120730"</f>
        <v>20229120730</v>
      </c>
      <c r="G87" s="12">
        <v>44.1</v>
      </c>
      <c r="H87" s="12">
        <v>71.7</v>
      </c>
      <c r="I87" s="12">
        <v>57.9</v>
      </c>
      <c r="J87" s="10">
        <v>78.86</v>
      </c>
      <c r="K87" s="21">
        <f t="shared" si="6"/>
        <v>69.67699999999999</v>
      </c>
    </row>
    <row r="88" spans="1:11" ht="18.75" customHeight="1">
      <c r="A88" s="11">
        <v>85</v>
      </c>
      <c r="B88" s="10" t="str">
        <f t="shared" si="5"/>
        <v>2022019</v>
      </c>
      <c r="C88" s="10" t="s">
        <v>12</v>
      </c>
      <c r="D88" s="10" t="s">
        <v>21</v>
      </c>
      <c r="E88" s="10" t="str">
        <f>"孙宁"</f>
        <v>孙宁</v>
      </c>
      <c r="F88" s="10" t="str">
        <f>"20229120819"</f>
        <v>20229120819</v>
      </c>
      <c r="G88" s="12">
        <v>61.9</v>
      </c>
      <c r="H88" s="12">
        <v>70.7</v>
      </c>
      <c r="I88" s="12">
        <v>66.3</v>
      </c>
      <c r="J88" s="10">
        <v>0</v>
      </c>
      <c r="K88" s="21">
        <f t="shared" si="6"/>
        <v>16.575</v>
      </c>
    </row>
    <row r="89" spans="1:11" ht="18.75" customHeight="1">
      <c r="A89" s="11">
        <v>86</v>
      </c>
      <c r="B89" s="10" t="str">
        <f aca="true" t="shared" si="7" ref="B89:B109">"2022020"</f>
        <v>2022020</v>
      </c>
      <c r="C89" s="10" t="s">
        <v>12</v>
      </c>
      <c r="D89" s="10" t="s">
        <v>21</v>
      </c>
      <c r="E89" s="10" t="str">
        <f>"杜红艳"</f>
        <v>杜红艳</v>
      </c>
      <c r="F89" s="10" t="str">
        <f>"20229120828"</f>
        <v>20229120828</v>
      </c>
      <c r="G89" s="12">
        <v>89.6</v>
      </c>
      <c r="H89" s="12">
        <v>86.8</v>
      </c>
      <c r="I89" s="12">
        <v>88.2</v>
      </c>
      <c r="J89" s="10">
        <v>84.32</v>
      </c>
      <c r="K89" s="21">
        <f t="shared" si="6"/>
        <v>81.074</v>
      </c>
    </row>
    <row r="90" spans="1:11" ht="18.75" customHeight="1">
      <c r="A90" s="11">
        <v>87</v>
      </c>
      <c r="B90" s="10" t="str">
        <f t="shared" si="7"/>
        <v>2022020</v>
      </c>
      <c r="C90" s="10" t="s">
        <v>12</v>
      </c>
      <c r="D90" s="10" t="s">
        <v>21</v>
      </c>
      <c r="E90" s="10" t="str">
        <f>"王莹莹"</f>
        <v>王莹莹</v>
      </c>
      <c r="F90" s="10" t="str">
        <f>"20229120907"</f>
        <v>20229120907</v>
      </c>
      <c r="G90" s="12">
        <v>95</v>
      </c>
      <c r="H90" s="12">
        <v>85.7</v>
      </c>
      <c r="I90" s="12">
        <v>90.35</v>
      </c>
      <c r="J90" s="10">
        <v>81.6</v>
      </c>
      <c r="K90" s="21">
        <f t="shared" si="6"/>
        <v>79.7075</v>
      </c>
    </row>
    <row r="91" spans="1:11" ht="18.75" customHeight="1">
      <c r="A91" s="11">
        <v>88</v>
      </c>
      <c r="B91" s="10" t="str">
        <f t="shared" si="7"/>
        <v>2022020</v>
      </c>
      <c r="C91" s="10" t="s">
        <v>12</v>
      </c>
      <c r="D91" s="10" t="s">
        <v>21</v>
      </c>
      <c r="E91" s="10" t="str">
        <f>"黄小敏"</f>
        <v>黄小敏</v>
      </c>
      <c r="F91" s="10" t="str">
        <f>"20229120913"</f>
        <v>20229120913</v>
      </c>
      <c r="G91" s="12">
        <v>89.8</v>
      </c>
      <c r="H91" s="12">
        <v>85.3</v>
      </c>
      <c r="I91" s="12">
        <v>87.55</v>
      </c>
      <c r="J91" s="10">
        <v>82.32</v>
      </c>
      <c r="K91" s="21">
        <f t="shared" si="6"/>
        <v>79.51149999999998</v>
      </c>
    </row>
    <row r="92" spans="1:11" ht="18.75" customHeight="1">
      <c r="A92" s="11">
        <v>89</v>
      </c>
      <c r="B92" s="10" t="str">
        <f t="shared" si="7"/>
        <v>2022020</v>
      </c>
      <c r="C92" s="10" t="s">
        <v>12</v>
      </c>
      <c r="D92" s="10" t="s">
        <v>21</v>
      </c>
      <c r="E92" s="10" t="str">
        <f>"陈曼谛"</f>
        <v>陈曼谛</v>
      </c>
      <c r="F92" s="10" t="str">
        <f>"20229120909"</f>
        <v>20229120909</v>
      </c>
      <c r="G92" s="12">
        <v>77.2</v>
      </c>
      <c r="H92" s="12">
        <v>90</v>
      </c>
      <c r="I92" s="12">
        <v>83.6</v>
      </c>
      <c r="J92" s="13">
        <v>82.2</v>
      </c>
      <c r="K92" s="21">
        <f t="shared" si="6"/>
        <v>78.44</v>
      </c>
    </row>
    <row r="93" spans="1:11" ht="18.75" customHeight="1">
      <c r="A93" s="11">
        <v>90</v>
      </c>
      <c r="B93" s="10" t="str">
        <f t="shared" si="7"/>
        <v>2022020</v>
      </c>
      <c r="C93" s="10" t="s">
        <v>12</v>
      </c>
      <c r="D93" s="10" t="s">
        <v>21</v>
      </c>
      <c r="E93" s="10" t="str">
        <f>"马飞雪"</f>
        <v>马飞雪</v>
      </c>
      <c r="F93" s="10" t="str">
        <f>"20229120826"</f>
        <v>20229120826</v>
      </c>
      <c r="G93" s="12">
        <v>95.6</v>
      </c>
      <c r="H93" s="12">
        <v>93.9</v>
      </c>
      <c r="I93" s="12">
        <v>94.75</v>
      </c>
      <c r="J93" s="10">
        <v>78.2</v>
      </c>
      <c r="K93" s="21">
        <f t="shared" si="6"/>
        <v>78.42750000000001</v>
      </c>
    </row>
    <row r="94" spans="1:11" ht="18.75" customHeight="1">
      <c r="A94" s="11">
        <v>91</v>
      </c>
      <c r="B94" s="10" t="str">
        <f t="shared" si="7"/>
        <v>2022020</v>
      </c>
      <c r="C94" s="10" t="s">
        <v>12</v>
      </c>
      <c r="D94" s="10" t="s">
        <v>21</v>
      </c>
      <c r="E94" s="10" t="str">
        <f>"董继伟"</f>
        <v>董继伟</v>
      </c>
      <c r="F94" s="10" t="str">
        <f>"20229120914"</f>
        <v>20229120914</v>
      </c>
      <c r="G94" s="12">
        <v>84.3</v>
      </c>
      <c r="H94" s="12">
        <v>84.4</v>
      </c>
      <c r="I94" s="12">
        <v>84.35</v>
      </c>
      <c r="J94" s="10">
        <v>81.86</v>
      </c>
      <c r="K94" s="21">
        <f t="shared" si="6"/>
        <v>78.3895</v>
      </c>
    </row>
    <row r="95" spans="1:11" ht="18.75" customHeight="1">
      <c r="A95" s="11">
        <v>92</v>
      </c>
      <c r="B95" s="14" t="str">
        <f t="shared" si="7"/>
        <v>2022020</v>
      </c>
      <c r="C95" s="14" t="s">
        <v>12</v>
      </c>
      <c r="D95" s="14" t="s">
        <v>21</v>
      </c>
      <c r="E95" s="14" t="str">
        <f>"陈虹"</f>
        <v>陈虹</v>
      </c>
      <c r="F95" s="14" t="str">
        <f>"20229120905"</f>
        <v>20229120905</v>
      </c>
      <c r="G95" s="15">
        <v>73.6</v>
      </c>
      <c r="H95" s="15">
        <v>94.8</v>
      </c>
      <c r="I95" s="15">
        <v>84.2</v>
      </c>
      <c r="J95" s="20">
        <v>80.92</v>
      </c>
      <c r="K95" s="21">
        <f t="shared" si="6"/>
        <v>77.694</v>
      </c>
    </row>
    <row r="96" spans="1:11" ht="18.75" customHeight="1">
      <c r="A96" s="11">
        <v>93</v>
      </c>
      <c r="B96" s="10" t="str">
        <f t="shared" si="7"/>
        <v>2022020</v>
      </c>
      <c r="C96" s="10" t="s">
        <v>12</v>
      </c>
      <c r="D96" s="10" t="s">
        <v>21</v>
      </c>
      <c r="E96" s="10" t="str">
        <f>"魏倩倩"</f>
        <v>魏倩倩</v>
      </c>
      <c r="F96" s="10" t="str">
        <f>"20229120910"</f>
        <v>20229120910</v>
      </c>
      <c r="G96" s="12">
        <v>79.5</v>
      </c>
      <c r="H96" s="12">
        <v>89.4</v>
      </c>
      <c r="I96" s="12">
        <v>84.45</v>
      </c>
      <c r="J96" s="10">
        <v>80</v>
      </c>
      <c r="K96" s="21">
        <f t="shared" si="6"/>
        <v>77.1125</v>
      </c>
    </row>
    <row r="97" spans="1:11" ht="18.75" customHeight="1">
      <c r="A97" s="11">
        <v>94</v>
      </c>
      <c r="B97" s="10" t="str">
        <f t="shared" si="7"/>
        <v>2022020</v>
      </c>
      <c r="C97" s="10" t="s">
        <v>12</v>
      </c>
      <c r="D97" s="10" t="s">
        <v>21</v>
      </c>
      <c r="E97" s="10" t="str">
        <f>"江海燕"</f>
        <v>江海燕</v>
      </c>
      <c r="F97" s="10" t="str">
        <f>"20229120912"</f>
        <v>20229120912</v>
      </c>
      <c r="G97" s="12">
        <v>79.5</v>
      </c>
      <c r="H97" s="12">
        <v>79.5</v>
      </c>
      <c r="I97" s="12">
        <v>79.5</v>
      </c>
      <c r="J97" s="13">
        <v>81.2</v>
      </c>
      <c r="K97" s="21">
        <f t="shared" si="6"/>
        <v>76.715</v>
      </c>
    </row>
    <row r="98" spans="1:11" s="3" customFormat="1" ht="18.75" customHeight="1">
      <c r="A98" s="11">
        <v>95</v>
      </c>
      <c r="B98" s="10" t="str">
        <f t="shared" si="7"/>
        <v>2022020</v>
      </c>
      <c r="C98" s="10" t="s">
        <v>12</v>
      </c>
      <c r="D98" s="10" t="s">
        <v>21</v>
      </c>
      <c r="E98" s="10" t="str">
        <f>"冯丽丽"</f>
        <v>冯丽丽</v>
      </c>
      <c r="F98" s="10" t="str">
        <f>"20229120827"</f>
        <v>20229120827</v>
      </c>
      <c r="G98" s="12">
        <v>83.5</v>
      </c>
      <c r="H98" s="12">
        <v>57.1</v>
      </c>
      <c r="I98" s="12">
        <v>70.3</v>
      </c>
      <c r="J98" s="10">
        <v>83.2</v>
      </c>
      <c r="K98" s="21">
        <f t="shared" si="6"/>
        <v>75.815</v>
      </c>
    </row>
    <row r="99" spans="1:11" s="2" customFormat="1" ht="18.75" customHeight="1">
      <c r="A99" s="11">
        <v>96</v>
      </c>
      <c r="B99" s="10" t="str">
        <f t="shared" si="7"/>
        <v>2022020</v>
      </c>
      <c r="C99" s="10" t="s">
        <v>12</v>
      </c>
      <c r="D99" s="10" t="s">
        <v>21</v>
      </c>
      <c r="E99" s="10" t="str">
        <f>"董宁"</f>
        <v>董宁</v>
      </c>
      <c r="F99" s="10" t="str">
        <f>"20229120823"</f>
        <v>20229120823</v>
      </c>
      <c r="G99" s="12">
        <v>77.7</v>
      </c>
      <c r="H99" s="12">
        <v>72.5</v>
      </c>
      <c r="I99" s="12">
        <v>75.1</v>
      </c>
      <c r="J99" s="10">
        <v>81.14</v>
      </c>
      <c r="K99" s="21">
        <f t="shared" si="6"/>
        <v>75.573</v>
      </c>
    </row>
    <row r="100" spans="1:11" s="2" customFormat="1" ht="18.75" customHeight="1">
      <c r="A100" s="11">
        <v>97</v>
      </c>
      <c r="B100" s="10" t="str">
        <f t="shared" si="7"/>
        <v>2022020</v>
      </c>
      <c r="C100" s="10" t="s">
        <v>12</v>
      </c>
      <c r="D100" s="10" t="s">
        <v>21</v>
      </c>
      <c r="E100" s="10" t="str">
        <f>"纪秀侠"</f>
        <v>纪秀侠</v>
      </c>
      <c r="F100" s="10" t="str">
        <f>"20229120908"</f>
        <v>20229120908</v>
      </c>
      <c r="G100" s="12">
        <v>78.1</v>
      </c>
      <c r="H100" s="12">
        <v>62.4</v>
      </c>
      <c r="I100" s="12">
        <v>70.25</v>
      </c>
      <c r="J100" s="10">
        <v>82.74</v>
      </c>
      <c r="K100" s="21">
        <f t="shared" si="6"/>
        <v>75.48049999999999</v>
      </c>
    </row>
    <row r="101" spans="1:11" ht="18.75" customHeight="1">
      <c r="A101" s="11">
        <v>98</v>
      </c>
      <c r="B101" s="10" t="str">
        <f t="shared" si="7"/>
        <v>2022020</v>
      </c>
      <c r="C101" s="10" t="s">
        <v>12</v>
      </c>
      <c r="D101" s="10" t="s">
        <v>21</v>
      </c>
      <c r="E101" s="10" t="str">
        <f>"高振宇"</f>
        <v>高振宇</v>
      </c>
      <c r="F101" s="10" t="str">
        <f>"20229120906"</f>
        <v>20229120906</v>
      </c>
      <c r="G101" s="12">
        <v>91.3</v>
      </c>
      <c r="H101" s="12">
        <v>77.5</v>
      </c>
      <c r="I101" s="12">
        <v>84.4</v>
      </c>
      <c r="J101" s="10">
        <v>76.24</v>
      </c>
      <c r="K101" s="21">
        <f t="shared" si="6"/>
        <v>74.46799999999999</v>
      </c>
    </row>
    <row r="102" spans="1:11" ht="18.75" customHeight="1">
      <c r="A102" s="11">
        <v>99</v>
      </c>
      <c r="B102" s="10" t="str">
        <f t="shared" si="7"/>
        <v>2022020</v>
      </c>
      <c r="C102" s="10" t="s">
        <v>12</v>
      </c>
      <c r="D102" s="10" t="s">
        <v>21</v>
      </c>
      <c r="E102" s="10" t="str">
        <f>"谢敏"</f>
        <v>谢敏</v>
      </c>
      <c r="F102" s="10" t="str">
        <f>"20229120904"</f>
        <v>20229120904</v>
      </c>
      <c r="G102" s="12">
        <v>76.7</v>
      </c>
      <c r="H102" s="12">
        <v>78.5</v>
      </c>
      <c r="I102" s="12">
        <v>77.6</v>
      </c>
      <c r="J102" s="10">
        <v>77.68</v>
      </c>
      <c r="K102" s="21">
        <f t="shared" si="6"/>
        <v>73.77600000000001</v>
      </c>
    </row>
    <row r="103" spans="1:11" ht="18.75" customHeight="1">
      <c r="A103" s="11">
        <v>100</v>
      </c>
      <c r="B103" s="10" t="str">
        <f t="shared" si="7"/>
        <v>2022020</v>
      </c>
      <c r="C103" s="10" t="s">
        <v>12</v>
      </c>
      <c r="D103" s="10" t="s">
        <v>21</v>
      </c>
      <c r="E103" s="10" t="str">
        <f>"李丽"</f>
        <v>李丽</v>
      </c>
      <c r="F103" s="10" t="str">
        <f>"20229120911"</f>
        <v>20229120911</v>
      </c>
      <c r="G103" s="12">
        <v>71.6</v>
      </c>
      <c r="H103" s="12">
        <v>77.7</v>
      </c>
      <c r="I103" s="12">
        <v>74.65</v>
      </c>
      <c r="J103" s="10">
        <v>77.36</v>
      </c>
      <c r="K103" s="21">
        <f t="shared" si="6"/>
        <v>72.8145</v>
      </c>
    </row>
    <row r="104" spans="1:11" ht="18.75" customHeight="1">
      <c r="A104" s="11">
        <v>101</v>
      </c>
      <c r="B104" s="10" t="str">
        <f t="shared" si="7"/>
        <v>2022020</v>
      </c>
      <c r="C104" s="10" t="s">
        <v>12</v>
      </c>
      <c r="D104" s="10" t="s">
        <v>21</v>
      </c>
      <c r="E104" s="10" t="str">
        <f>"高洁"</f>
        <v>高洁</v>
      </c>
      <c r="F104" s="10" t="str">
        <f>"20229120901"</f>
        <v>20229120901</v>
      </c>
      <c r="G104" s="12">
        <v>78.4</v>
      </c>
      <c r="H104" s="12">
        <v>61.2</v>
      </c>
      <c r="I104" s="12">
        <v>69.8</v>
      </c>
      <c r="J104" s="10">
        <v>75.62</v>
      </c>
      <c r="K104" s="21">
        <f t="shared" si="6"/>
        <v>70.384</v>
      </c>
    </row>
    <row r="105" spans="1:11" ht="18.75" customHeight="1">
      <c r="A105" s="11">
        <v>102</v>
      </c>
      <c r="B105" s="10" t="str">
        <f t="shared" si="7"/>
        <v>2022020</v>
      </c>
      <c r="C105" s="10" t="s">
        <v>12</v>
      </c>
      <c r="D105" s="10" t="s">
        <v>21</v>
      </c>
      <c r="E105" s="10" t="str">
        <f>"赵静"</f>
        <v>赵静</v>
      </c>
      <c r="F105" s="10" t="str">
        <f>"20229120902"</f>
        <v>20229120902</v>
      </c>
      <c r="G105" s="12">
        <v>70.9</v>
      </c>
      <c r="H105" s="12">
        <v>62.9</v>
      </c>
      <c r="I105" s="12">
        <v>66.9</v>
      </c>
      <c r="J105" s="10">
        <v>75.8</v>
      </c>
      <c r="K105" s="21">
        <f t="shared" si="6"/>
        <v>69.785</v>
      </c>
    </row>
    <row r="106" spans="1:11" s="2" customFormat="1" ht="18.75" customHeight="1">
      <c r="A106" s="11">
        <v>103</v>
      </c>
      <c r="B106" s="10" t="str">
        <f t="shared" si="7"/>
        <v>2022020</v>
      </c>
      <c r="C106" s="10" t="s">
        <v>12</v>
      </c>
      <c r="D106" s="10" t="s">
        <v>21</v>
      </c>
      <c r="E106" s="10" t="str">
        <f>"孙利敏"</f>
        <v>孙利敏</v>
      </c>
      <c r="F106" s="10" t="str">
        <f>"20229120825"</f>
        <v>20229120825</v>
      </c>
      <c r="G106" s="12">
        <v>50.1</v>
      </c>
      <c r="H106" s="12">
        <v>78.3</v>
      </c>
      <c r="I106" s="12">
        <v>64.2</v>
      </c>
      <c r="J106" s="10">
        <v>75.44</v>
      </c>
      <c r="K106" s="21">
        <f t="shared" si="6"/>
        <v>68.85799999999999</v>
      </c>
    </row>
    <row r="107" spans="1:11" ht="18.75" customHeight="1">
      <c r="A107" s="11">
        <v>104</v>
      </c>
      <c r="B107" s="10" t="str">
        <f t="shared" si="7"/>
        <v>2022020</v>
      </c>
      <c r="C107" s="10" t="s">
        <v>12</v>
      </c>
      <c r="D107" s="10" t="s">
        <v>21</v>
      </c>
      <c r="E107" s="10" t="str">
        <f>"冯磊"</f>
        <v>冯磊</v>
      </c>
      <c r="F107" s="10" t="str">
        <f>"20229120915"</f>
        <v>20229120915</v>
      </c>
      <c r="G107" s="12">
        <v>87.1</v>
      </c>
      <c r="H107" s="12">
        <v>92.7</v>
      </c>
      <c r="I107" s="12">
        <v>89.9</v>
      </c>
      <c r="J107" s="10">
        <v>0</v>
      </c>
      <c r="K107" s="21">
        <f t="shared" si="6"/>
        <v>22.475</v>
      </c>
    </row>
    <row r="108" spans="1:11" ht="18.75" customHeight="1">
      <c r="A108" s="11">
        <v>105</v>
      </c>
      <c r="B108" s="10" t="str">
        <f t="shared" si="7"/>
        <v>2022020</v>
      </c>
      <c r="C108" s="10" t="s">
        <v>12</v>
      </c>
      <c r="D108" s="10" t="s">
        <v>21</v>
      </c>
      <c r="E108" s="10" t="str">
        <f>"任晓娟"</f>
        <v>任晓娟</v>
      </c>
      <c r="F108" s="10" t="str">
        <f>"20229120829"</f>
        <v>20229120829</v>
      </c>
      <c r="G108" s="12">
        <v>76.7</v>
      </c>
      <c r="H108" s="12">
        <v>93.5</v>
      </c>
      <c r="I108" s="12">
        <v>85.1</v>
      </c>
      <c r="J108" s="10">
        <v>0</v>
      </c>
      <c r="K108" s="21">
        <f t="shared" si="6"/>
        <v>21.275000000000002</v>
      </c>
    </row>
    <row r="109" spans="1:11" ht="18.75" customHeight="1">
      <c r="A109" s="11">
        <v>106</v>
      </c>
      <c r="B109" s="10" t="str">
        <f t="shared" si="7"/>
        <v>2022020</v>
      </c>
      <c r="C109" s="10" t="s">
        <v>12</v>
      </c>
      <c r="D109" s="10" t="s">
        <v>21</v>
      </c>
      <c r="E109" s="10" t="str">
        <f>"张黎芳"</f>
        <v>张黎芳</v>
      </c>
      <c r="F109" s="10" t="str">
        <f>"20229120903"</f>
        <v>20229120903</v>
      </c>
      <c r="G109" s="12">
        <v>74.6</v>
      </c>
      <c r="H109" s="12">
        <v>65.6</v>
      </c>
      <c r="I109" s="12">
        <v>70.1</v>
      </c>
      <c r="J109" s="13">
        <v>0</v>
      </c>
      <c r="K109" s="21">
        <f t="shared" si="6"/>
        <v>17.525</v>
      </c>
    </row>
    <row r="110" spans="1:11" ht="18.75" customHeight="1">
      <c r="A110" s="11">
        <v>107</v>
      </c>
      <c r="B110" s="10" t="str">
        <f aca="true" t="shared" si="8" ref="B110:B123">"2022021"</f>
        <v>2022021</v>
      </c>
      <c r="C110" s="10" t="s">
        <v>12</v>
      </c>
      <c r="D110" s="10" t="s">
        <v>21</v>
      </c>
      <c r="E110" s="10" t="str">
        <f>"侯利平"</f>
        <v>侯利平</v>
      </c>
      <c r="F110" s="10" t="str">
        <f>"20229121905"</f>
        <v>20229121905</v>
      </c>
      <c r="G110" s="12">
        <v>110.1</v>
      </c>
      <c r="H110" s="12">
        <v>97.8</v>
      </c>
      <c r="I110" s="12">
        <v>103.95</v>
      </c>
      <c r="J110" s="19">
        <v>81.3</v>
      </c>
      <c r="K110" s="21">
        <f t="shared" si="6"/>
        <v>82.8975</v>
      </c>
    </row>
    <row r="111" spans="1:11" ht="18.75" customHeight="1">
      <c r="A111" s="11">
        <v>108</v>
      </c>
      <c r="B111" s="10" t="str">
        <f t="shared" si="8"/>
        <v>2022021</v>
      </c>
      <c r="C111" s="10" t="s">
        <v>12</v>
      </c>
      <c r="D111" s="10" t="s">
        <v>21</v>
      </c>
      <c r="E111" s="10" t="str">
        <f>"孟珂帆"</f>
        <v>孟珂帆</v>
      </c>
      <c r="F111" s="10" t="str">
        <f>"20229121523"</f>
        <v>20229121523</v>
      </c>
      <c r="G111" s="12">
        <v>106</v>
      </c>
      <c r="H111" s="12">
        <v>94.6</v>
      </c>
      <c r="I111" s="12">
        <v>100.3</v>
      </c>
      <c r="J111" s="19">
        <v>81.8</v>
      </c>
      <c r="K111" s="21">
        <f t="shared" si="6"/>
        <v>82.335</v>
      </c>
    </row>
    <row r="112" spans="1:11" ht="18.75" customHeight="1">
      <c r="A112" s="11">
        <v>109</v>
      </c>
      <c r="B112" s="10" t="str">
        <f t="shared" si="8"/>
        <v>2022021</v>
      </c>
      <c r="C112" s="10" t="s">
        <v>12</v>
      </c>
      <c r="D112" s="10" t="s">
        <v>21</v>
      </c>
      <c r="E112" s="10" t="str">
        <f>"姚静娟"</f>
        <v>姚静娟</v>
      </c>
      <c r="F112" s="10" t="str">
        <f>"20229120928"</f>
        <v>20229120928</v>
      </c>
      <c r="G112" s="12">
        <v>105.6</v>
      </c>
      <c r="H112" s="12">
        <v>91.9</v>
      </c>
      <c r="I112" s="12">
        <v>98.75</v>
      </c>
      <c r="J112" s="20">
        <v>82.2</v>
      </c>
      <c r="K112" s="21">
        <f t="shared" si="6"/>
        <v>82.22749999999999</v>
      </c>
    </row>
    <row r="113" spans="1:11" ht="18.75" customHeight="1">
      <c r="A113" s="11">
        <v>110</v>
      </c>
      <c r="B113" s="10" t="str">
        <f t="shared" si="8"/>
        <v>2022021</v>
      </c>
      <c r="C113" s="10" t="s">
        <v>12</v>
      </c>
      <c r="D113" s="10" t="s">
        <v>21</v>
      </c>
      <c r="E113" s="10" t="str">
        <f>"黄玉海"</f>
        <v>黄玉海</v>
      </c>
      <c r="F113" s="10" t="str">
        <f>"20229121812"</f>
        <v>20229121812</v>
      </c>
      <c r="G113" s="12">
        <v>107</v>
      </c>
      <c r="H113" s="12">
        <v>92.3</v>
      </c>
      <c r="I113" s="12">
        <v>99.65</v>
      </c>
      <c r="J113" s="19">
        <v>81</v>
      </c>
      <c r="K113" s="21">
        <f t="shared" si="6"/>
        <v>81.6125</v>
      </c>
    </row>
    <row r="114" spans="1:11" ht="18.75" customHeight="1">
      <c r="A114" s="11">
        <v>111</v>
      </c>
      <c r="B114" s="10" t="str">
        <f t="shared" si="8"/>
        <v>2022021</v>
      </c>
      <c r="C114" s="10" t="s">
        <v>12</v>
      </c>
      <c r="D114" s="10" t="s">
        <v>21</v>
      </c>
      <c r="E114" s="10" t="str">
        <f>"李兵杰"</f>
        <v>李兵杰</v>
      </c>
      <c r="F114" s="10" t="str">
        <f>"20229121223"</f>
        <v>20229121223</v>
      </c>
      <c r="G114" s="12">
        <v>108.8</v>
      </c>
      <c r="H114" s="12">
        <v>95.7</v>
      </c>
      <c r="I114" s="12">
        <v>102.25</v>
      </c>
      <c r="J114" s="19">
        <v>79.96</v>
      </c>
      <c r="K114" s="21">
        <f t="shared" si="6"/>
        <v>81.5345</v>
      </c>
    </row>
    <row r="115" spans="1:11" ht="18.75" customHeight="1">
      <c r="A115" s="11">
        <v>112</v>
      </c>
      <c r="B115" s="10" t="str">
        <f t="shared" si="8"/>
        <v>2022021</v>
      </c>
      <c r="C115" s="10" t="s">
        <v>12</v>
      </c>
      <c r="D115" s="10" t="s">
        <v>21</v>
      </c>
      <c r="E115" s="10" t="str">
        <f>"陈双陈"</f>
        <v>陈双陈</v>
      </c>
      <c r="F115" s="10" t="str">
        <f>"20229121514"</f>
        <v>20229121514</v>
      </c>
      <c r="G115" s="12">
        <v>105.8</v>
      </c>
      <c r="H115" s="12">
        <v>94.2</v>
      </c>
      <c r="I115" s="12">
        <v>100</v>
      </c>
      <c r="J115" s="19">
        <v>80.48</v>
      </c>
      <c r="K115" s="21">
        <f t="shared" si="6"/>
        <v>81.336</v>
      </c>
    </row>
    <row r="116" spans="1:11" s="5" customFormat="1" ht="18.75" customHeight="1">
      <c r="A116" s="11">
        <v>113</v>
      </c>
      <c r="B116" s="10" t="str">
        <f t="shared" si="8"/>
        <v>2022021</v>
      </c>
      <c r="C116" s="10" t="s">
        <v>12</v>
      </c>
      <c r="D116" s="10" t="s">
        <v>21</v>
      </c>
      <c r="E116" s="10" t="str">
        <f>"焦艳梅"</f>
        <v>焦艳梅</v>
      </c>
      <c r="F116" s="10" t="str">
        <f>"20229121115"</f>
        <v>20229121115</v>
      </c>
      <c r="G116" s="12">
        <v>103.9</v>
      </c>
      <c r="H116" s="12">
        <v>91.6</v>
      </c>
      <c r="I116" s="12">
        <v>97.75</v>
      </c>
      <c r="J116" s="19">
        <v>80.5</v>
      </c>
      <c r="K116" s="21">
        <f t="shared" si="6"/>
        <v>80.7875</v>
      </c>
    </row>
    <row r="117" spans="1:11" s="2" customFormat="1" ht="18.75" customHeight="1">
      <c r="A117" s="11">
        <v>114</v>
      </c>
      <c r="B117" s="10" t="str">
        <f t="shared" si="8"/>
        <v>2022021</v>
      </c>
      <c r="C117" s="10" t="s">
        <v>12</v>
      </c>
      <c r="D117" s="10" t="s">
        <v>21</v>
      </c>
      <c r="E117" s="10" t="str">
        <f>"刘宁"</f>
        <v>刘宁</v>
      </c>
      <c r="F117" s="10" t="str">
        <f>"20229121801"</f>
        <v>20229121801</v>
      </c>
      <c r="G117" s="12">
        <v>104.5</v>
      </c>
      <c r="H117" s="12">
        <v>93.6</v>
      </c>
      <c r="I117" s="12">
        <v>99.05</v>
      </c>
      <c r="J117" s="20">
        <v>79.6</v>
      </c>
      <c r="K117" s="21">
        <f t="shared" si="6"/>
        <v>80.48249999999999</v>
      </c>
    </row>
    <row r="118" spans="1:11" ht="18.75" customHeight="1">
      <c r="A118" s="11">
        <v>115</v>
      </c>
      <c r="B118" s="10" t="str">
        <f t="shared" si="8"/>
        <v>2022021</v>
      </c>
      <c r="C118" s="10" t="s">
        <v>12</v>
      </c>
      <c r="D118" s="10" t="s">
        <v>21</v>
      </c>
      <c r="E118" s="10" t="str">
        <f>"张莺莺"</f>
        <v>张莺莺</v>
      </c>
      <c r="F118" s="10" t="str">
        <f>"20229121423"</f>
        <v>20229121423</v>
      </c>
      <c r="G118" s="12">
        <v>98.4</v>
      </c>
      <c r="H118" s="12">
        <v>95.7</v>
      </c>
      <c r="I118" s="12">
        <v>97.05</v>
      </c>
      <c r="J118" s="19">
        <v>80.3</v>
      </c>
      <c r="K118" s="21">
        <f t="shared" si="6"/>
        <v>80.4725</v>
      </c>
    </row>
    <row r="119" spans="1:11" ht="18.75" customHeight="1">
      <c r="A119" s="11">
        <v>116</v>
      </c>
      <c r="B119" s="10" t="str">
        <f t="shared" si="8"/>
        <v>2022021</v>
      </c>
      <c r="C119" s="10" t="s">
        <v>12</v>
      </c>
      <c r="D119" s="10" t="s">
        <v>21</v>
      </c>
      <c r="E119" s="10" t="str">
        <f>"蒋成侠"</f>
        <v>蒋成侠</v>
      </c>
      <c r="F119" s="10" t="str">
        <f>"20229121824"</f>
        <v>20229121824</v>
      </c>
      <c r="G119" s="12">
        <v>102.2</v>
      </c>
      <c r="H119" s="12">
        <v>93.5</v>
      </c>
      <c r="I119" s="12">
        <v>97.85</v>
      </c>
      <c r="J119" s="19">
        <v>79.92</v>
      </c>
      <c r="K119" s="21">
        <f t="shared" si="6"/>
        <v>80.4065</v>
      </c>
    </row>
    <row r="120" spans="1:11" ht="18.75" customHeight="1">
      <c r="A120" s="11">
        <v>117</v>
      </c>
      <c r="B120" s="10" t="str">
        <f t="shared" si="8"/>
        <v>2022021</v>
      </c>
      <c r="C120" s="10" t="s">
        <v>12</v>
      </c>
      <c r="D120" s="10" t="s">
        <v>21</v>
      </c>
      <c r="E120" s="10" t="str">
        <f>"乔琳娜"</f>
        <v>乔琳娜</v>
      </c>
      <c r="F120" s="10" t="str">
        <f>"20229121611"</f>
        <v>20229121611</v>
      </c>
      <c r="G120" s="12">
        <v>111.3</v>
      </c>
      <c r="H120" s="12">
        <v>99.8</v>
      </c>
      <c r="I120" s="12">
        <v>105.55</v>
      </c>
      <c r="J120" s="19">
        <v>77.1</v>
      </c>
      <c r="K120" s="21">
        <f t="shared" si="6"/>
        <v>80.35749999999999</v>
      </c>
    </row>
    <row r="121" spans="1:11" ht="18.75" customHeight="1">
      <c r="A121" s="11">
        <v>118</v>
      </c>
      <c r="B121" s="10" t="str">
        <f t="shared" si="8"/>
        <v>2022021</v>
      </c>
      <c r="C121" s="10" t="s">
        <v>12</v>
      </c>
      <c r="D121" s="10" t="s">
        <v>21</v>
      </c>
      <c r="E121" s="10" t="str">
        <f>"陈晨"</f>
        <v>陈晨</v>
      </c>
      <c r="F121" s="10" t="str">
        <f>"20229121806"</f>
        <v>20229121806</v>
      </c>
      <c r="G121" s="12">
        <v>99.2</v>
      </c>
      <c r="H121" s="12">
        <v>96</v>
      </c>
      <c r="I121" s="12">
        <v>97.6</v>
      </c>
      <c r="J121" s="19">
        <v>77.4</v>
      </c>
      <c r="K121" s="21">
        <f t="shared" si="6"/>
        <v>78.58</v>
      </c>
    </row>
    <row r="122" spans="1:11" ht="18.75" customHeight="1">
      <c r="A122" s="11">
        <v>119</v>
      </c>
      <c r="B122" s="10" t="str">
        <f t="shared" si="8"/>
        <v>2022021</v>
      </c>
      <c r="C122" s="10" t="s">
        <v>12</v>
      </c>
      <c r="D122" s="10" t="s">
        <v>21</v>
      </c>
      <c r="E122" s="10" t="str">
        <f>"王艳"</f>
        <v>王艳</v>
      </c>
      <c r="F122" s="10" t="str">
        <f>"20229121422"</f>
        <v>20229121422</v>
      </c>
      <c r="G122" s="12">
        <v>101.4</v>
      </c>
      <c r="H122" s="12">
        <v>93.5</v>
      </c>
      <c r="I122" s="12">
        <v>97.45</v>
      </c>
      <c r="J122" s="19">
        <v>0</v>
      </c>
      <c r="K122" s="21">
        <f t="shared" si="6"/>
        <v>24.3625</v>
      </c>
    </row>
    <row r="123" spans="1:11" ht="18.75" customHeight="1">
      <c r="A123" s="11">
        <v>120</v>
      </c>
      <c r="B123" s="10" t="str">
        <f t="shared" si="8"/>
        <v>2022021</v>
      </c>
      <c r="C123" s="10" t="s">
        <v>12</v>
      </c>
      <c r="D123" s="10" t="s">
        <v>21</v>
      </c>
      <c r="E123" s="10" t="str">
        <f>"范风波"</f>
        <v>范风波</v>
      </c>
      <c r="F123" s="10" t="str">
        <f>"20229121330"</f>
        <v>20229121330</v>
      </c>
      <c r="G123" s="12">
        <v>103</v>
      </c>
      <c r="H123" s="12">
        <v>91.4</v>
      </c>
      <c r="I123" s="12">
        <v>97.2</v>
      </c>
      <c r="J123" s="19">
        <v>0</v>
      </c>
      <c r="K123" s="21">
        <f t="shared" si="6"/>
        <v>24.3</v>
      </c>
    </row>
    <row r="124" spans="1:11" ht="18.75" customHeight="1">
      <c r="A124" s="11">
        <v>121</v>
      </c>
      <c r="B124" s="10" t="str">
        <f aca="true" t="shared" si="9" ref="B124:B139">"2022022"</f>
        <v>2022022</v>
      </c>
      <c r="C124" s="10" t="s">
        <v>14</v>
      </c>
      <c r="D124" s="10" t="s">
        <v>21</v>
      </c>
      <c r="E124" s="10" t="str">
        <f>"沈兵影"</f>
        <v>沈兵影</v>
      </c>
      <c r="F124" s="10" t="str">
        <f>"20229122203"</f>
        <v>20229122203</v>
      </c>
      <c r="G124" s="12">
        <v>106.1</v>
      </c>
      <c r="H124" s="12">
        <v>58.1</v>
      </c>
      <c r="I124" s="12">
        <v>82.1</v>
      </c>
      <c r="J124" s="19">
        <v>83.28</v>
      </c>
      <c r="K124" s="21">
        <f t="shared" si="6"/>
        <v>78.821</v>
      </c>
    </row>
    <row r="125" spans="1:11" ht="18.75" customHeight="1">
      <c r="A125" s="11">
        <v>122</v>
      </c>
      <c r="B125" s="10" t="str">
        <f t="shared" si="9"/>
        <v>2022022</v>
      </c>
      <c r="C125" s="10" t="s">
        <v>14</v>
      </c>
      <c r="D125" s="10" t="s">
        <v>21</v>
      </c>
      <c r="E125" s="10" t="str">
        <f>"李艳芳"</f>
        <v>李艳芳</v>
      </c>
      <c r="F125" s="10" t="str">
        <f>"20229122217"</f>
        <v>20229122217</v>
      </c>
      <c r="G125" s="12">
        <v>86.6</v>
      </c>
      <c r="H125" s="12">
        <v>70.8</v>
      </c>
      <c r="I125" s="12">
        <v>78.7</v>
      </c>
      <c r="J125" s="19">
        <v>83.38</v>
      </c>
      <c r="K125" s="21">
        <f t="shared" si="6"/>
        <v>78.041</v>
      </c>
    </row>
    <row r="126" spans="1:11" ht="18.75" customHeight="1">
      <c r="A126" s="11">
        <v>123</v>
      </c>
      <c r="B126" s="10" t="str">
        <f t="shared" si="9"/>
        <v>2022022</v>
      </c>
      <c r="C126" s="10" t="s">
        <v>14</v>
      </c>
      <c r="D126" s="10" t="s">
        <v>21</v>
      </c>
      <c r="E126" s="10" t="str">
        <f>"代丽丽"</f>
        <v>代丽丽</v>
      </c>
      <c r="F126" s="10" t="str">
        <f>"20229122207"</f>
        <v>20229122207</v>
      </c>
      <c r="G126" s="12">
        <v>94.3</v>
      </c>
      <c r="H126" s="12">
        <v>72.6</v>
      </c>
      <c r="I126" s="12">
        <v>83.45</v>
      </c>
      <c r="J126" s="19">
        <v>81.02</v>
      </c>
      <c r="K126" s="21">
        <f t="shared" si="6"/>
        <v>77.5765</v>
      </c>
    </row>
    <row r="127" spans="1:11" ht="18.75" customHeight="1">
      <c r="A127" s="11">
        <v>124</v>
      </c>
      <c r="B127" s="10" t="str">
        <f t="shared" si="9"/>
        <v>2022022</v>
      </c>
      <c r="C127" s="10" t="s">
        <v>14</v>
      </c>
      <c r="D127" s="10" t="s">
        <v>21</v>
      </c>
      <c r="E127" s="10" t="str">
        <f>"姜瑞琦"</f>
        <v>姜瑞琦</v>
      </c>
      <c r="F127" s="10" t="str">
        <f>"20229122213"</f>
        <v>20229122213</v>
      </c>
      <c r="G127" s="12">
        <v>81.9</v>
      </c>
      <c r="H127" s="12">
        <v>89.7</v>
      </c>
      <c r="I127" s="12">
        <v>85.8</v>
      </c>
      <c r="J127" s="19">
        <v>78.52</v>
      </c>
      <c r="K127" s="21">
        <f t="shared" si="6"/>
        <v>76.41399999999999</v>
      </c>
    </row>
    <row r="128" spans="1:11" ht="18.75" customHeight="1">
      <c r="A128" s="11">
        <v>125</v>
      </c>
      <c r="B128" s="10" t="str">
        <f t="shared" si="9"/>
        <v>2022022</v>
      </c>
      <c r="C128" s="10" t="s">
        <v>14</v>
      </c>
      <c r="D128" s="10" t="s">
        <v>21</v>
      </c>
      <c r="E128" s="10" t="str">
        <f>"戴伟"</f>
        <v>戴伟</v>
      </c>
      <c r="F128" s="10" t="str">
        <f>"20229122204"</f>
        <v>20229122204</v>
      </c>
      <c r="G128" s="12">
        <v>63.1</v>
      </c>
      <c r="H128" s="12">
        <v>84.6</v>
      </c>
      <c r="I128" s="12">
        <v>73.85</v>
      </c>
      <c r="J128" s="19">
        <v>79.72</v>
      </c>
      <c r="K128" s="21">
        <f t="shared" si="6"/>
        <v>74.2665</v>
      </c>
    </row>
    <row r="129" spans="1:11" ht="18.75" customHeight="1">
      <c r="A129" s="11">
        <v>126</v>
      </c>
      <c r="B129" s="10" t="str">
        <f t="shared" si="9"/>
        <v>2022022</v>
      </c>
      <c r="C129" s="10" t="s">
        <v>14</v>
      </c>
      <c r="D129" s="10" t="s">
        <v>21</v>
      </c>
      <c r="E129" s="10" t="str">
        <f>"马丽"</f>
        <v>马丽</v>
      </c>
      <c r="F129" s="10" t="str">
        <f>"20229122209"</f>
        <v>20229122209</v>
      </c>
      <c r="G129" s="12">
        <v>57.8</v>
      </c>
      <c r="H129" s="12">
        <v>58.4</v>
      </c>
      <c r="I129" s="12">
        <v>58.1</v>
      </c>
      <c r="J129" s="19">
        <v>83.86</v>
      </c>
      <c r="K129" s="21">
        <f t="shared" si="6"/>
        <v>73.227</v>
      </c>
    </row>
    <row r="130" spans="1:11" ht="18.75" customHeight="1">
      <c r="A130" s="11">
        <v>127</v>
      </c>
      <c r="B130" s="10" t="str">
        <f t="shared" si="9"/>
        <v>2022022</v>
      </c>
      <c r="C130" s="10" t="s">
        <v>14</v>
      </c>
      <c r="D130" s="10" t="s">
        <v>21</v>
      </c>
      <c r="E130" s="10" t="str">
        <f>"王倩倩"</f>
        <v>王倩倩</v>
      </c>
      <c r="F130" s="10" t="str">
        <f>"20229122206"</f>
        <v>20229122206</v>
      </c>
      <c r="G130" s="12">
        <v>75.9</v>
      </c>
      <c r="H130" s="12">
        <v>58.6</v>
      </c>
      <c r="I130" s="12">
        <v>67.25</v>
      </c>
      <c r="J130" s="19">
        <v>80.54</v>
      </c>
      <c r="K130" s="21">
        <f t="shared" si="6"/>
        <v>73.1905</v>
      </c>
    </row>
    <row r="131" spans="1:11" ht="18.75" customHeight="1">
      <c r="A131" s="11">
        <v>128</v>
      </c>
      <c r="B131" s="10" t="str">
        <f t="shared" si="9"/>
        <v>2022022</v>
      </c>
      <c r="C131" s="10" t="s">
        <v>14</v>
      </c>
      <c r="D131" s="10" t="s">
        <v>21</v>
      </c>
      <c r="E131" s="10" t="str">
        <f>"管明理"</f>
        <v>管明理</v>
      </c>
      <c r="F131" s="10" t="str">
        <f>"20229122210"</f>
        <v>20229122210</v>
      </c>
      <c r="G131" s="12">
        <v>59</v>
      </c>
      <c r="H131" s="12">
        <v>88.2</v>
      </c>
      <c r="I131" s="12">
        <v>73.6</v>
      </c>
      <c r="J131" s="19">
        <v>77.6</v>
      </c>
      <c r="K131" s="21">
        <f t="shared" si="6"/>
        <v>72.72</v>
      </c>
    </row>
    <row r="132" spans="1:11" s="2" customFormat="1" ht="18.75" customHeight="1">
      <c r="A132" s="11">
        <v>129</v>
      </c>
      <c r="B132" s="10" t="str">
        <f t="shared" si="9"/>
        <v>2022022</v>
      </c>
      <c r="C132" s="10" t="s">
        <v>14</v>
      </c>
      <c r="D132" s="10" t="s">
        <v>21</v>
      </c>
      <c r="E132" s="10" t="str">
        <f>"谢梓腾"</f>
        <v>谢梓腾</v>
      </c>
      <c r="F132" s="10" t="str">
        <f>"20229122218"</f>
        <v>20229122218</v>
      </c>
      <c r="G132" s="12">
        <v>80.5</v>
      </c>
      <c r="H132" s="12">
        <v>59.3</v>
      </c>
      <c r="I132" s="12">
        <v>69.9</v>
      </c>
      <c r="J132" s="19">
        <v>78.86</v>
      </c>
      <c r="K132" s="21">
        <f aca="true" t="shared" si="10" ref="K132:K195">I132/1.2*0.3+J132*0.7</f>
        <v>72.67699999999999</v>
      </c>
    </row>
    <row r="133" spans="1:11" ht="18.75" customHeight="1">
      <c r="A133" s="11">
        <v>130</v>
      </c>
      <c r="B133" s="10" t="str">
        <f t="shared" si="9"/>
        <v>2022022</v>
      </c>
      <c r="C133" s="10" t="s">
        <v>14</v>
      </c>
      <c r="D133" s="10" t="s">
        <v>21</v>
      </c>
      <c r="E133" s="10" t="str">
        <f>"王永庆"</f>
        <v>王永庆</v>
      </c>
      <c r="F133" s="10" t="str">
        <f>"20229122202"</f>
        <v>20229122202</v>
      </c>
      <c r="G133" s="12">
        <v>98.9</v>
      </c>
      <c r="H133" s="12">
        <v>39.1</v>
      </c>
      <c r="I133" s="12">
        <v>69</v>
      </c>
      <c r="J133" s="20">
        <v>79.04</v>
      </c>
      <c r="K133" s="21">
        <f t="shared" si="10"/>
        <v>72.578</v>
      </c>
    </row>
    <row r="134" spans="1:11" ht="18.75" customHeight="1">
      <c r="A134" s="11">
        <v>131</v>
      </c>
      <c r="B134" s="10" t="str">
        <f t="shared" si="9"/>
        <v>2022022</v>
      </c>
      <c r="C134" s="10" t="s">
        <v>14</v>
      </c>
      <c r="D134" s="10" t="s">
        <v>21</v>
      </c>
      <c r="E134" s="10" t="str">
        <f>"王煜"</f>
        <v>王煜</v>
      </c>
      <c r="F134" s="10" t="str">
        <f>"20229122216"</f>
        <v>20229122216</v>
      </c>
      <c r="G134" s="12">
        <v>79.8</v>
      </c>
      <c r="H134" s="12">
        <v>63.2</v>
      </c>
      <c r="I134" s="12">
        <v>71.5</v>
      </c>
      <c r="J134" s="19">
        <v>76.34</v>
      </c>
      <c r="K134" s="21">
        <f t="shared" si="10"/>
        <v>71.313</v>
      </c>
    </row>
    <row r="135" spans="1:11" ht="18.75" customHeight="1">
      <c r="A135" s="11">
        <v>132</v>
      </c>
      <c r="B135" s="10" t="str">
        <f t="shared" si="9"/>
        <v>2022022</v>
      </c>
      <c r="C135" s="10" t="s">
        <v>14</v>
      </c>
      <c r="D135" s="10" t="s">
        <v>21</v>
      </c>
      <c r="E135" s="10" t="str">
        <f>"朱文臣"</f>
        <v>朱文臣</v>
      </c>
      <c r="F135" s="10" t="str">
        <f>"20229122208"</f>
        <v>20229122208</v>
      </c>
      <c r="G135" s="12">
        <v>70.1</v>
      </c>
      <c r="H135" s="12">
        <v>67.4</v>
      </c>
      <c r="I135" s="12">
        <v>68.75</v>
      </c>
      <c r="J135" s="19">
        <v>77.3</v>
      </c>
      <c r="K135" s="21">
        <f t="shared" si="10"/>
        <v>71.29749999999999</v>
      </c>
    </row>
    <row r="136" spans="1:11" ht="18.75" customHeight="1">
      <c r="A136" s="11">
        <v>133</v>
      </c>
      <c r="B136" s="10" t="str">
        <f t="shared" si="9"/>
        <v>2022022</v>
      </c>
      <c r="C136" s="10" t="s">
        <v>14</v>
      </c>
      <c r="D136" s="10" t="s">
        <v>21</v>
      </c>
      <c r="E136" s="10" t="str">
        <f>"周小平"</f>
        <v>周小平</v>
      </c>
      <c r="F136" s="10" t="str">
        <f>"20229122201"</f>
        <v>20229122201</v>
      </c>
      <c r="G136" s="12">
        <v>71.2</v>
      </c>
      <c r="H136" s="12">
        <v>58</v>
      </c>
      <c r="I136" s="12">
        <v>64.6</v>
      </c>
      <c r="J136" s="19">
        <v>78.68</v>
      </c>
      <c r="K136" s="21">
        <f t="shared" si="10"/>
        <v>71.226</v>
      </c>
    </row>
    <row r="137" spans="1:11" ht="18.75" customHeight="1">
      <c r="A137" s="11">
        <v>134</v>
      </c>
      <c r="B137" s="10" t="str">
        <f t="shared" si="9"/>
        <v>2022022</v>
      </c>
      <c r="C137" s="10" t="s">
        <v>14</v>
      </c>
      <c r="D137" s="10" t="s">
        <v>21</v>
      </c>
      <c r="E137" s="10" t="str">
        <f>"马丽君"</f>
        <v>马丽君</v>
      </c>
      <c r="F137" s="10" t="str">
        <f>"20229122212"</f>
        <v>20229122212</v>
      </c>
      <c r="G137" s="12">
        <v>69.5</v>
      </c>
      <c r="H137" s="12">
        <v>38.3</v>
      </c>
      <c r="I137" s="12">
        <v>53.9</v>
      </c>
      <c r="J137" s="19">
        <v>80.74</v>
      </c>
      <c r="K137" s="21">
        <f t="shared" si="10"/>
        <v>69.993</v>
      </c>
    </row>
    <row r="138" spans="1:11" ht="18.75" customHeight="1">
      <c r="A138" s="11">
        <v>135</v>
      </c>
      <c r="B138" s="10" t="str">
        <f t="shared" si="9"/>
        <v>2022022</v>
      </c>
      <c r="C138" s="10" t="s">
        <v>14</v>
      </c>
      <c r="D138" s="10" t="s">
        <v>21</v>
      </c>
      <c r="E138" s="10" t="str">
        <f>"关玉业"</f>
        <v>关玉业</v>
      </c>
      <c r="F138" s="10" t="str">
        <f>"20229122215"</f>
        <v>20229122215</v>
      </c>
      <c r="G138" s="12">
        <v>70.9</v>
      </c>
      <c r="H138" s="12">
        <v>41.3</v>
      </c>
      <c r="I138" s="12">
        <v>56.1</v>
      </c>
      <c r="J138" s="19">
        <v>75.96</v>
      </c>
      <c r="K138" s="21">
        <f t="shared" si="10"/>
        <v>67.19699999999999</v>
      </c>
    </row>
    <row r="139" spans="1:11" ht="18.75" customHeight="1">
      <c r="A139" s="11">
        <v>136</v>
      </c>
      <c r="B139" s="10" t="str">
        <f t="shared" si="9"/>
        <v>2022022</v>
      </c>
      <c r="C139" s="10" t="s">
        <v>14</v>
      </c>
      <c r="D139" s="10" t="s">
        <v>21</v>
      </c>
      <c r="E139" s="10" t="str">
        <f>"刘刚"</f>
        <v>刘刚</v>
      </c>
      <c r="F139" s="10" t="str">
        <f>"20229122205"</f>
        <v>20229122205</v>
      </c>
      <c r="G139" s="12">
        <v>68</v>
      </c>
      <c r="H139" s="12">
        <v>55.8</v>
      </c>
      <c r="I139" s="12">
        <v>61.9</v>
      </c>
      <c r="J139" s="19">
        <v>56.4</v>
      </c>
      <c r="K139" s="21">
        <f t="shared" si="10"/>
        <v>54.955</v>
      </c>
    </row>
    <row r="140" spans="1:11" ht="18.75" customHeight="1">
      <c r="A140" s="11">
        <v>137</v>
      </c>
      <c r="B140" s="10" t="str">
        <f aca="true" t="shared" si="11" ref="B140:B156">"2022023"</f>
        <v>2022023</v>
      </c>
      <c r="C140" s="10" t="s">
        <v>14</v>
      </c>
      <c r="D140" s="10" t="s">
        <v>21</v>
      </c>
      <c r="E140" s="10" t="str">
        <f>"韩枭"</f>
        <v>韩枭</v>
      </c>
      <c r="F140" s="10" t="str">
        <f>"20229122311"</f>
        <v>20229122311</v>
      </c>
      <c r="G140" s="12">
        <v>86.9</v>
      </c>
      <c r="H140" s="12">
        <v>84.7</v>
      </c>
      <c r="I140" s="12">
        <v>85.8</v>
      </c>
      <c r="J140" s="19">
        <v>82.06</v>
      </c>
      <c r="K140" s="21">
        <f t="shared" si="10"/>
        <v>78.892</v>
      </c>
    </row>
    <row r="141" spans="1:11" ht="18.75" customHeight="1">
      <c r="A141" s="11">
        <v>138</v>
      </c>
      <c r="B141" s="10" t="str">
        <f t="shared" si="11"/>
        <v>2022023</v>
      </c>
      <c r="C141" s="10" t="s">
        <v>14</v>
      </c>
      <c r="D141" s="10" t="s">
        <v>21</v>
      </c>
      <c r="E141" s="10" t="str">
        <f>"刘莉"</f>
        <v>刘莉</v>
      </c>
      <c r="F141" s="10" t="str">
        <f>"20229122310"</f>
        <v>20229122310</v>
      </c>
      <c r="G141" s="12">
        <v>93.4</v>
      </c>
      <c r="H141" s="12">
        <v>67.6</v>
      </c>
      <c r="I141" s="12">
        <v>80.5</v>
      </c>
      <c r="J141" s="19">
        <v>79.06</v>
      </c>
      <c r="K141" s="21">
        <f t="shared" si="10"/>
        <v>75.467</v>
      </c>
    </row>
    <row r="142" spans="1:11" ht="18.75" customHeight="1">
      <c r="A142" s="11">
        <v>139</v>
      </c>
      <c r="B142" s="10" t="str">
        <f t="shared" si="11"/>
        <v>2022023</v>
      </c>
      <c r="C142" s="10" t="s">
        <v>14</v>
      </c>
      <c r="D142" s="10" t="s">
        <v>21</v>
      </c>
      <c r="E142" s="10" t="str">
        <f>"黄文莉"</f>
        <v>黄文莉</v>
      </c>
      <c r="F142" s="10" t="str">
        <f>"20229122224"</f>
        <v>20229122224</v>
      </c>
      <c r="G142" s="12">
        <v>83.8</v>
      </c>
      <c r="H142" s="12">
        <v>60.3</v>
      </c>
      <c r="I142" s="12">
        <v>72.05</v>
      </c>
      <c r="J142" s="19">
        <v>79.72</v>
      </c>
      <c r="K142" s="21">
        <f t="shared" si="10"/>
        <v>73.81649999999999</v>
      </c>
    </row>
    <row r="143" spans="1:11" ht="18.75" customHeight="1">
      <c r="A143" s="11">
        <v>140</v>
      </c>
      <c r="B143" s="10" t="str">
        <f t="shared" si="11"/>
        <v>2022023</v>
      </c>
      <c r="C143" s="10" t="s">
        <v>14</v>
      </c>
      <c r="D143" s="10" t="s">
        <v>21</v>
      </c>
      <c r="E143" s="10" t="str">
        <f>"孙天亮"</f>
        <v>孙天亮</v>
      </c>
      <c r="F143" s="10" t="str">
        <f>"20229122223"</f>
        <v>20229122223</v>
      </c>
      <c r="G143" s="12">
        <v>81.7</v>
      </c>
      <c r="H143" s="12">
        <v>80.1</v>
      </c>
      <c r="I143" s="12">
        <v>80.9</v>
      </c>
      <c r="J143" s="19">
        <v>74.48</v>
      </c>
      <c r="K143" s="21">
        <f t="shared" si="10"/>
        <v>72.361</v>
      </c>
    </row>
    <row r="144" spans="1:11" ht="18.75" customHeight="1">
      <c r="A144" s="11">
        <v>141</v>
      </c>
      <c r="B144" s="10" t="str">
        <f t="shared" si="11"/>
        <v>2022023</v>
      </c>
      <c r="C144" s="10" t="s">
        <v>14</v>
      </c>
      <c r="D144" s="10" t="s">
        <v>21</v>
      </c>
      <c r="E144" s="10" t="str">
        <f>"李静"</f>
        <v>李静</v>
      </c>
      <c r="F144" s="10" t="str">
        <f>"20229122307"</f>
        <v>20229122307</v>
      </c>
      <c r="G144" s="12">
        <v>88.4</v>
      </c>
      <c r="H144" s="12">
        <v>56.2</v>
      </c>
      <c r="I144" s="12">
        <v>72.3</v>
      </c>
      <c r="J144" s="19">
        <v>77.46</v>
      </c>
      <c r="K144" s="21">
        <f t="shared" si="10"/>
        <v>72.297</v>
      </c>
    </row>
    <row r="145" spans="1:11" ht="18.75" customHeight="1">
      <c r="A145" s="11">
        <v>142</v>
      </c>
      <c r="B145" s="10" t="str">
        <f t="shared" si="11"/>
        <v>2022023</v>
      </c>
      <c r="C145" s="10" t="s">
        <v>14</v>
      </c>
      <c r="D145" s="10" t="s">
        <v>21</v>
      </c>
      <c r="E145" s="10" t="str">
        <f>"张利影"</f>
        <v>张利影</v>
      </c>
      <c r="F145" s="10" t="str">
        <f>"20229122221"</f>
        <v>20229122221</v>
      </c>
      <c r="G145" s="12">
        <v>81.7</v>
      </c>
      <c r="H145" s="12">
        <v>59</v>
      </c>
      <c r="I145" s="12">
        <v>70.35</v>
      </c>
      <c r="J145" s="19">
        <v>77.14</v>
      </c>
      <c r="K145" s="21">
        <f t="shared" si="10"/>
        <v>71.5855</v>
      </c>
    </row>
    <row r="146" spans="1:11" ht="18.75" customHeight="1">
      <c r="A146" s="11">
        <v>143</v>
      </c>
      <c r="B146" s="10" t="str">
        <f t="shared" si="11"/>
        <v>2022023</v>
      </c>
      <c r="C146" s="10" t="s">
        <v>14</v>
      </c>
      <c r="D146" s="10" t="s">
        <v>21</v>
      </c>
      <c r="E146" s="10" t="str">
        <f>"郑晓龙"</f>
        <v>郑晓龙</v>
      </c>
      <c r="F146" s="10" t="str">
        <f>"20229122308"</f>
        <v>20229122308</v>
      </c>
      <c r="G146" s="12">
        <v>93.3</v>
      </c>
      <c r="H146" s="12">
        <v>51.4</v>
      </c>
      <c r="I146" s="12">
        <v>72.35</v>
      </c>
      <c r="J146" s="19">
        <v>73.44</v>
      </c>
      <c r="K146" s="21">
        <f t="shared" si="10"/>
        <v>69.49549999999999</v>
      </c>
    </row>
    <row r="147" spans="1:11" ht="18.75" customHeight="1">
      <c r="A147" s="11">
        <v>144</v>
      </c>
      <c r="B147" s="10" t="str">
        <f t="shared" si="11"/>
        <v>2022023</v>
      </c>
      <c r="C147" s="10" t="s">
        <v>14</v>
      </c>
      <c r="D147" s="10" t="s">
        <v>21</v>
      </c>
      <c r="E147" s="10" t="str">
        <f>"尤春锋"</f>
        <v>尤春锋</v>
      </c>
      <c r="F147" s="10" t="str">
        <f>"20229122305"</f>
        <v>20229122305</v>
      </c>
      <c r="G147" s="12">
        <v>72.2</v>
      </c>
      <c r="H147" s="12">
        <v>60.9</v>
      </c>
      <c r="I147" s="12">
        <v>66.55</v>
      </c>
      <c r="J147" s="19">
        <v>74.92</v>
      </c>
      <c r="K147" s="21">
        <f t="shared" si="10"/>
        <v>69.08149999999999</v>
      </c>
    </row>
    <row r="148" spans="1:11" ht="18.75" customHeight="1">
      <c r="A148" s="11">
        <v>145</v>
      </c>
      <c r="B148" s="10" t="str">
        <f t="shared" si="11"/>
        <v>2022023</v>
      </c>
      <c r="C148" s="10" t="s">
        <v>14</v>
      </c>
      <c r="D148" s="10" t="s">
        <v>21</v>
      </c>
      <c r="E148" s="10" t="str">
        <f>"武玲玲"</f>
        <v>武玲玲</v>
      </c>
      <c r="F148" s="10" t="str">
        <f>"20229122225"</f>
        <v>20229122225</v>
      </c>
      <c r="G148" s="12">
        <v>67.6</v>
      </c>
      <c r="H148" s="12">
        <v>56.8</v>
      </c>
      <c r="I148" s="12">
        <v>62.2</v>
      </c>
      <c r="J148" s="19">
        <v>75.12</v>
      </c>
      <c r="K148" s="21">
        <f t="shared" si="10"/>
        <v>68.134</v>
      </c>
    </row>
    <row r="149" spans="1:11" ht="18.75" customHeight="1">
      <c r="A149" s="11">
        <v>146</v>
      </c>
      <c r="B149" s="10" t="str">
        <f t="shared" si="11"/>
        <v>2022023</v>
      </c>
      <c r="C149" s="10" t="s">
        <v>14</v>
      </c>
      <c r="D149" s="10" t="s">
        <v>21</v>
      </c>
      <c r="E149" s="10" t="str">
        <f>"黄早琴"</f>
        <v>黄早琴</v>
      </c>
      <c r="F149" s="10" t="str">
        <f>"20229122309"</f>
        <v>20229122309</v>
      </c>
      <c r="G149" s="12">
        <v>69.7</v>
      </c>
      <c r="H149" s="12">
        <v>64.5</v>
      </c>
      <c r="I149" s="12">
        <v>67.1</v>
      </c>
      <c r="J149" s="19">
        <v>72.64</v>
      </c>
      <c r="K149" s="21">
        <f t="shared" si="10"/>
        <v>67.62299999999999</v>
      </c>
    </row>
    <row r="150" spans="1:11" ht="18.75" customHeight="1">
      <c r="A150" s="11">
        <v>147</v>
      </c>
      <c r="B150" s="10" t="str">
        <f t="shared" si="11"/>
        <v>2022023</v>
      </c>
      <c r="C150" s="10" t="s">
        <v>14</v>
      </c>
      <c r="D150" s="10" t="s">
        <v>21</v>
      </c>
      <c r="E150" s="10" t="str">
        <f>"康媛媛"</f>
        <v>康媛媛</v>
      </c>
      <c r="F150" s="10" t="str">
        <f>"20229122304"</f>
        <v>20229122304</v>
      </c>
      <c r="G150" s="12">
        <v>77.8</v>
      </c>
      <c r="H150" s="12">
        <v>51.1</v>
      </c>
      <c r="I150" s="12">
        <v>64.45</v>
      </c>
      <c r="J150" s="19">
        <v>72.2</v>
      </c>
      <c r="K150" s="21">
        <f t="shared" si="10"/>
        <v>66.6525</v>
      </c>
    </row>
    <row r="151" spans="1:11" ht="18.75" customHeight="1">
      <c r="A151" s="11">
        <v>148</v>
      </c>
      <c r="B151" s="10" t="str">
        <f t="shared" si="11"/>
        <v>2022023</v>
      </c>
      <c r="C151" s="10" t="s">
        <v>14</v>
      </c>
      <c r="D151" s="10" t="s">
        <v>21</v>
      </c>
      <c r="E151" s="10" t="str">
        <f>"王丽洁"</f>
        <v>王丽洁</v>
      </c>
      <c r="F151" s="10" t="str">
        <f>"20229122222"</f>
        <v>20229122222</v>
      </c>
      <c r="G151" s="12">
        <v>86.8</v>
      </c>
      <c r="H151" s="12">
        <v>45.4</v>
      </c>
      <c r="I151" s="12">
        <v>66.1</v>
      </c>
      <c r="J151" s="19">
        <v>70.34</v>
      </c>
      <c r="K151" s="21">
        <f t="shared" si="10"/>
        <v>65.763</v>
      </c>
    </row>
    <row r="152" spans="1:11" s="2" customFormat="1" ht="18.75" customHeight="1">
      <c r="A152" s="11">
        <v>149</v>
      </c>
      <c r="B152" s="10" t="str">
        <f t="shared" si="11"/>
        <v>2022023</v>
      </c>
      <c r="C152" s="10" t="s">
        <v>14</v>
      </c>
      <c r="D152" s="10" t="s">
        <v>21</v>
      </c>
      <c r="E152" s="10" t="str">
        <f>"刘翠芳"</f>
        <v>刘翠芳</v>
      </c>
      <c r="F152" s="10" t="str">
        <f>"20229122306"</f>
        <v>20229122306</v>
      </c>
      <c r="G152" s="12">
        <v>58.8</v>
      </c>
      <c r="H152" s="12">
        <v>38.3</v>
      </c>
      <c r="I152" s="12">
        <v>48.55</v>
      </c>
      <c r="J152" s="20">
        <v>76.1</v>
      </c>
      <c r="K152" s="21">
        <f t="shared" si="10"/>
        <v>65.4075</v>
      </c>
    </row>
    <row r="153" spans="1:11" ht="18.75" customHeight="1">
      <c r="A153" s="11">
        <v>150</v>
      </c>
      <c r="B153" s="10" t="str">
        <f t="shared" si="11"/>
        <v>2022023</v>
      </c>
      <c r="C153" s="10" t="s">
        <v>14</v>
      </c>
      <c r="D153" s="10" t="s">
        <v>21</v>
      </c>
      <c r="E153" s="10" t="str">
        <f>"孙倩男"</f>
        <v>孙倩男</v>
      </c>
      <c r="F153" s="10" t="str">
        <f>"20229122301"</f>
        <v>20229122301</v>
      </c>
      <c r="G153" s="12">
        <v>58.5</v>
      </c>
      <c r="H153" s="12">
        <v>33.8</v>
      </c>
      <c r="I153" s="12">
        <v>46.15</v>
      </c>
      <c r="J153" s="20">
        <v>75.82</v>
      </c>
      <c r="K153" s="21">
        <f t="shared" si="10"/>
        <v>64.61149999999999</v>
      </c>
    </row>
    <row r="154" spans="1:11" s="2" customFormat="1" ht="18.75" customHeight="1">
      <c r="A154" s="11">
        <v>151</v>
      </c>
      <c r="B154" s="10" t="str">
        <f t="shared" si="11"/>
        <v>2022023</v>
      </c>
      <c r="C154" s="10" t="s">
        <v>14</v>
      </c>
      <c r="D154" s="10" t="s">
        <v>21</v>
      </c>
      <c r="E154" s="10" t="str">
        <f>"汪朝"</f>
        <v>汪朝</v>
      </c>
      <c r="F154" s="10" t="str">
        <f>"20229122303"</f>
        <v>20229122303</v>
      </c>
      <c r="G154" s="12">
        <v>87.8</v>
      </c>
      <c r="H154" s="12">
        <v>22.1</v>
      </c>
      <c r="I154" s="12">
        <v>54.95</v>
      </c>
      <c r="J154" s="20">
        <v>72.26</v>
      </c>
      <c r="K154" s="21">
        <f t="shared" si="10"/>
        <v>64.3195</v>
      </c>
    </row>
    <row r="155" spans="1:11" s="5" customFormat="1" ht="18.75" customHeight="1">
      <c r="A155" s="11">
        <v>152</v>
      </c>
      <c r="B155" s="10" t="str">
        <f t="shared" si="11"/>
        <v>2022023</v>
      </c>
      <c r="C155" s="10" t="s">
        <v>14</v>
      </c>
      <c r="D155" s="10" t="s">
        <v>21</v>
      </c>
      <c r="E155" s="10" t="str">
        <f>"王伟"</f>
        <v>王伟</v>
      </c>
      <c r="F155" s="10" t="str">
        <f>"20229122227"</f>
        <v>20229122227</v>
      </c>
      <c r="G155" s="12">
        <v>49.6</v>
      </c>
      <c r="H155" s="12">
        <v>31.9</v>
      </c>
      <c r="I155" s="12">
        <v>40.75</v>
      </c>
      <c r="J155" s="19">
        <v>68.8</v>
      </c>
      <c r="K155" s="21">
        <f t="shared" si="10"/>
        <v>58.3475</v>
      </c>
    </row>
    <row r="156" spans="1:11" ht="18.75" customHeight="1">
      <c r="A156" s="11">
        <v>153</v>
      </c>
      <c r="B156" s="10" t="str">
        <f t="shared" si="11"/>
        <v>2022023</v>
      </c>
      <c r="C156" s="10" t="s">
        <v>14</v>
      </c>
      <c r="D156" s="10" t="s">
        <v>21</v>
      </c>
      <c r="E156" s="10" t="str">
        <f>"袁杏杏"</f>
        <v>袁杏杏</v>
      </c>
      <c r="F156" s="10" t="str">
        <f>"20229122230"</f>
        <v>20229122230</v>
      </c>
      <c r="G156" s="12">
        <v>70.5</v>
      </c>
      <c r="H156" s="12">
        <v>37</v>
      </c>
      <c r="I156" s="12">
        <v>53.75</v>
      </c>
      <c r="J156" s="19">
        <v>0</v>
      </c>
      <c r="K156" s="21">
        <f t="shared" si="10"/>
        <v>13.437500000000002</v>
      </c>
    </row>
    <row r="157" spans="1:11" s="5" customFormat="1" ht="18.75" customHeight="1">
      <c r="A157" s="11">
        <v>154</v>
      </c>
      <c r="B157" s="10" t="str">
        <f aca="true" t="shared" si="12" ref="B157:B167">"2022024"</f>
        <v>2022024</v>
      </c>
      <c r="C157" s="10" t="s">
        <v>14</v>
      </c>
      <c r="D157" s="10" t="s">
        <v>21</v>
      </c>
      <c r="E157" s="10" t="str">
        <f>"苏恒"</f>
        <v>苏恒</v>
      </c>
      <c r="F157" s="10" t="str">
        <f>"20229122317"</f>
        <v>20229122317</v>
      </c>
      <c r="G157" s="12">
        <v>85</v>
      </c>
      <c r="H157" s="12">
        <v>61.5</v>
      </c>
      <c r="I157" s="12">
        <v>73.25</v>
      </c>
      <c r="J157" s="20">
        <v>85.48</v>
      </c>
      <c r="K157" s="21">
        <f t="shared" si="10"/>
        <v>78.1485</v>
      </c>
    </row>
    <row r="158" spans="1:11" ht="18.75" customHeight="1">
      <c r="A158" s="11">
        <v>155</v>
      </c>
      <c r="B158" s="16" t="str">
        <f t="shared" si="12"/>
        <v>2022024</v>
      </c>
      <c r="C158" s="16" t="s">
        <v>14</v>
      </c>
      <c r="D158" s="16" t="s">
        <v>21</v>
      </c>
      <c r="E158" s="16" t="str">
        <f>"王浩强"</f>
        <v>王浩强</v>
      </c>
      <c r="F158" s="16" t="str">
        <f>"20229122330"</f>
        <v>20229122330</v>
      </c>
      <c r="G158" s="15">
        <v>79.9</v>
      </c>
      <c r="H158" s="15">
        <v>56.5</v>
      </c>
      <c r="I158" s="15">
        <v>68.2</v>
      </c>
      <c r="J158" s="19">
        <v>84.72</v>
      </c>
      <c r="K158" s="21">
        <f t="shared" si="10"/>
        <v>76.354</v>
      </c>
    </row>
    <row r="159" spans="1:11" s="2" customFormat="1" ht="18.75" customHeight="1">
      <c r="A159" s="11">
        <v>156</v>
      </c>
      <c r="B159" s="10" t="str">
        <f t="shared" si="12"/>
        <v>2022024</v>
      </c>
      <c r="C159" s="10" t="s">
        <v>14</v>
      </c>
      <c r="D159" s="10" t="s">
        <v>21</v>
      </c>
      <c r="E159" s="10" t="str">
        <f>"汪立柱"</f>
        <v>汪立柱</v>
      </c>
      <c r="F159" s="10" t="str">
        <f>"20229122314"</f>
        <v>20229122314</v>
      </c>
      <c r="G159" s="12">
        <v>66.2</v>
      </c>
      <c r="H159" s="12">
        <v>71.6</v>
      </c>
      <c r="I159" s="12">
        <v>68.9</v>
      </c>
      <c r="J159" s="20">
        <v>80.5</v>
      </c>
      <c r="K159" s="21">
        <f t="shared" si="10"/>
        <v>73.57499999999999</v>
      </c>
    </row>
    <row r="160" spans="1:11" ht="18.75" customHeight="1">
      <c r="A160" s="11">
        <v>157</v>
      </c>
      <c r="B160" s="10" t="str">
        <f t="shared" si="12"/>
        <v>2022024</v>
      </c>
      <c r="C160" s="10" t="s">
        <v>14</v>
      </c>
      <c r="D160" s="10" t="s">
        <v>21</v>
      </c>
      <c r="E160" s="10" t="str">
        <f>"楚彩娟"</f>
        <v>楚彩娟</v>
      </c>
      <c r="F160" s="10" t="str">
        <f>"20229122328"</f>
        <v>20229122328</v>
      </c>
      <c r="G160" s="12">
        <v>75.2</v>
      </c>
      <c r="H160" s="12">
        <v>54.6</v>
      </c>
      <c r="I160" s="12">
        <v>64.9</v>
      </c>
      <c r="J160" s="19">
        <v>79.68</v>
      </c>
      <c r="K160" s="21">
        <f t="shared" si="10"/>
        <v>72.001</v>
      </c>
    </row>
    <row r="161" spans="1:11" s="2" customFormat="1" ht="18.75" customHeight="1">
      <c r="A161" s="11">
        <v>158</v>
      </c>
      <c r="B161" s="10" t="str">
        <f t="shared" si="12"/>
        <v>2022024</v>
      </c>
      <c r="C161" s="10" t="s">
        <v>14</v>
      </c>
      <c r="D161" s="10" t="s">
        <v>21</v>
      </c>
      <c r="E161" s="10" t="str">
        <f>"张永"</f>
        <v>张永</v>
      </c>
      <c r="F161" s="10" t="str">
        <f>"20229122327"</f>
        <v>20229122327</v>
      </c>
      <c r="G161" s="12">
        <v>88.2</v>
      </c>
      <c r="H161" s="12">
        <v>54.2</v>
      </c>
      <c r="I161" s="12">
        <v>71.2</v>
      </c>
      <c r="J161" s="19">
        <v>76.72</v>
      </c>
      <c r="K161" s="21">
        <f t="shared" si="10"/>
        <v>71.50399999999999</v>
      </c>
    </row>
    <row r="162" spans="1:11" ht="18.75" customHeight="1">
      <c r="A162" s="11">
        <v>159</v>
      </c>
      <c r="B162" s="10" t="str">
        <f t="shared" si="12"/>
        <v>2022024</v>
      </c>
      <c r="C162" s="10" t="s">
        <v>14</v>
      </c>
      <c r="D162" s="10" t="s">
        <v>21</v>
      </c>
      <c r="E162" s="10" t="str">
        <f>"潘凤凤"</f>
        <v>潘凤凤</v>
      </c>
      <c r="F162" s="10" t="str">
        <f>"20229122322"</f>
        <v>20229122322</v>
      </c>
      <c r="G162" s="12">
        <v>62.7</v>
      </c>
      <c r="H162" s="12">
        <v>69.5</v>
      </c>
      <c r="I162" s="12">
        <v>66.1</v>
      </c>
      <c r="J162" s="20">
        <v>77.78</v>
      </c>
      <c r="K162" s="21">
        <f t="shared" si="10"/>
        <v>70.971</v>
      </c>
    </row>
    <row r="163" spans="1:11" ht="18.75" customHeight="1">
      <c r="A163" s="11">
        <v>160</v>
      </c>
      <c r="B163" s="10" t="str">
        <f t="shared" si="12"/>
        <v>2022024</v>
      </c>
      <c r="C163" s="10" t="s">
        <v>14</v>
      </c>
      <c r="D163" s="10" t="s">
        <v>21</v>
      </c>
      <c r="E163" s="10" t="str">
        <f>"房影"</f>
        <v>房影</v>
      </c>
      <c r="F163" s="10" t="str">
        <f>"20229122318"</f>
        <v>20229122318</v>
      </c>
      <c r="G163" s="12">
        <v>62.3</v>
      </c>
      <c r="H163" s="12">
        <v>47.8</v>
      </c>
      <c r="I163" s="12">
        <v>55.05</v>
      </c>
      <c r="J163" s="19">
        <v>78.38</v>
      </c>
      <c r="K163" s="21">
        <f t="shared" si="10"/>
        <v>68.62849999999999</v>
      </c>
    </row>
    <row r="164" spans="1:11" ht="18.75" customHeight="1">
      <c r="A164" s="11">
        <v>161</v>
      </c>
      <c r="B164" s="10" t="str">
        <f t="shared" si="12"/>
        <v>2022024</v>
      </c>
      <c r="C164" s="10" t="s">
        <v>14</v>
      </c>
      <c r="D164" s="10" t="s">
        <v>21</v>
      </c>
      <c r="E164" s="10" t="str">
        <f>"张海燕"</f>
        <v>张海燕</v>
      </c>
      <c r="F164" s="10" t="str">
        <f>"20229122315"</f>
        <v>20229122315</v>
      </c>
      <c r="G164" s="12">
        <v>50.4</v>
      </c>
      <c r="H164" s="12">
        <v>37.3</v>
      </c>
      <c r="I164" s="12">
        <v>43.85</v>
      </c>
      <c r="J164" s="19">
        <v>81.96</v>
      </c>
      <c r="K164" s="21">
        <f t="shared" si="10"/>
        <v>68.33449999999999</v>
      </c>
    </row>
    <row r="165" spans="1:11" s="4" customFormat="1" ht="18.75" customHeight="1">
      <c r="A165" s="11">
        <v>162</v>
      </c>
      <c r="B165" s="10" t="str">
        <f t="shared" si="12"/>
        <v>2022024</v>
      </c>
      <c r="C165" s="10" t="s">
        <v>14</v>
      </c>
      <c r="D165" s="10" t="s">
        <v>21</v>
      </c>
      <c r="E165" s="10" t="str">
        <f>"刘梦艳"</f>
        <v>刘梦艳</v>
      </c>
      <c r="F165" s="10" t="str">
        <f>"20229122319"</f>
        <v>20229122319</v>
      </c>
      <c r="G165" s="12">
        <v>68.2</v>
      </c>
      <c r="H165" s="12">
        <v>41.1</v>
      </c>
      <c r="I165" s="12">
        <v>54.65</v>
      </c>
      <c r="J165" s="19">
        <v>77.28</v>
      </c>
      <c r="K165" s="21">
        <f t="shared" si="10"/>
        <v>67.7585</v>
      </c>
    </row>
    <row r="166" spans="1:11" ht="18.75" customHeight="1">
      <c r="A166" s="11">
        <v>163</v>
      </c>
      <c r="B166" s="10" t="str">
        <f t="shared" si="12"/>
        <v>2022024</v>
      </c>
      <c r="C166" s="10" t="s">
        <v>14</v>
      </c>
      <c r="D166" s="10" t="s">
        <v>21</v>
      </c>
      <c r="E166" s="10" t="str">
        <f>"汝连翠"</f>
        <v>汝连翠</v>
      </c>
      <c r="F166" s="10" t="str">
        <f>"20229122316"</f>
        <v>20229122316</v>
      </c>
      <c r="G166" s="12">
        <v>39.9</v>
      </c>
      <c r="H166" s="12">
        <v>58.6</v>
      </c>
      <c r="I166" s="12">
        <v>49.25</v>
      </c>
      <c r="J166" s="19">
        <v>78.14</v>
      </c>
      <c r="K166" s="21">
        <f t="shared" si="10"/>
        <v>67.01050000000001</v>
      </c>
    </row>
    <row r="167" spans="1:11" ht="18.75" customHeight="1">
      <c r="A167" s="11">
        <v>164</v>
      </c>
      <c r="B167" s="10" t="str">
        <f t="shared" si="12"/>
        <v>2022024</v>
      </c>
      <c r="C167" s="10" t="s">
        <v>14</v>
      </c>
      <c r="D167" s="10" t="s">
        <v>21</v>
      </c>
      <c r="E167" s="10" t="str">
        <f>"张同贺"</f>
        <v>张同贺</v>
      </c>
      <c r="F167" s="10" t="str">
        <f>"20229122323"</f>
        <v>20229122323</v>
      </c>
      <c r="G167" s="12">
        <v>42</v>
      </c>
      <c r="H167" s="12">
        <v>46.7</v>
      </c>
      <c r="I167" s="12">
        <v>44.35</v>
      </c>
      <c r="J167" s="19">
        <v>76.76</v>
      </c>
      <c r="K167" s="21">
        <f t="shared" si="10"/>
        <v>64.8195</v>
      </c>
    </row>
    <row r="168" spans="1:11" ht="18.75" customHeight="1">
      <c r="A168" s="11">
        <v>165</v>
      </c>
      <c r="B168" s="10" t="str">
        <f aca="true" t="shared" si="13" ref="B168:B189">"2022025"</f>
        <v>2022025</v>
      </c>
      <c r="C168" s="10" t="s">
        <v>14</v>
      </c>
      <c r="D168" s="10" t="s">
        <v>21</v>
      </c>
      <c r="E168" s="10" t="str">
        <f>"沈文慧"</f>
        <v>沈文慧</v>
      </c>
      <c r="F168" s="10" t="str">
        <f>"20229122705"</f>
        <v>20229122705</v>
      </c>
      <c r="G168" s="12">
        <v>106.7</v>
      </c>
      <c r="H168" s="12">
        <v>95.9</v>
      </c>
      <c r="I168" s="12">
        <v>101.3</v>
      </c>
      <c r="J168" s="19">
        <v>81.64</v>
      </c>
      <c r="K168" s="21">
        <f t="shared" si="10"/>
        <v>82.473</v>
      </c>
    </row>
    <row r="169" spans="1:11" ht="18.75" customHeight="1">
      <c r="A169" s="11">
        <v>166</v>
      </c>
      <c r="B169" s="10" t="str">
        <f t="shared" si="13"/>
        <v>2022025</v>
      </c>
      <c r="C169" s="10" t="s">
        <v>14</v>
      </c>
      <c r="D169" s="10" t="s">
        <v>21</v>
      </c>
      <c r="E169" s="10" t="str">
        <f>"钟晓艳"</f>
        <v>钟晓艳</v>
      </c>
      <c r="F169" s="10" t="str">
        <f>"20229122720"</f>
        <v>20229122720</v>
      </c>
      <c r="G169" s="12">
        <v>98</v>
      </c>
      <c r="H169" s="12">
        <v>79.8</v>
      </c>
      <c r="I169" s="12">
        <v>88.9</v>
      </c>
      <c r="J169" s="20">
        <v>84.88</v>
      </c>
      <c r="K169" s="21">
        <f t="shared" si="10"/>
        <v>81.64099999999999</v>
      </c>
    </row>
    <row r="170" spans="1:11" ht="18.75" customHeight="1">
      <c r="A170" s="11">
        <v>167</v>
      </c>
      <c r="B170" s="10" t="str">
        <f t="shared" si="13"/>
        <v>2022025</v>
      </c>
      <c r="C170" s="10" t="s">
        <v>14</v>
      </c>
      <c r="D170" s="10" t="s">
        <v>21</v>
      </c>
      <c r="E170" s="10" t="str">
        <f>"易锐"</f>
        <v>易锐</v>
      </c>
      <c r="F170" s="10" t="str">
        <f>"20229122719"</f>
        <v>20229122719</v>
      </c>
      <c r="G170" s="12">
        <v>89.8</v>
      </c>
      <c r="H170" s="12">
        <v>89.7</v>
      </c>
      <c r="I170" s="12">
        <v>89.75</v>
      </c>
      <c r="J170" s="19">
        <v>84.52</v>
      </c>
      <c r="K170" s="21">
        <f t="shared" si="10"/>
        <v>81.60149999999999</v>
      </c>
    </row>
    <row r="171" spans="1:11" ht="18.75" customHeight="1">
      <c r="A171" s="11">
        <v>168</v>
      </c>
      <c r="B171" s="10" t="str">
        <f t="shared" si="13"/>
        <v>2022025</v>
      </c>
      <c r="C171" s="10" t="s">
        <v>14</v>
      </c>
      <c r="D171" s="10" t="s">
        <v>21</v>
      </c>
      <c r="E171" s="10" t="str">
        <f>"高影"</f>
        <v>高影</v>
      </c>
      <c r="F171" s="10" t="str">
        <f>"20229122526"</f>
        <v>20229122526</v>
      </c>
      <c r="G171" s="12">
        <v>99.3</v>
      </c>
      <c r="H171" s="12">
        <v>81.3</v>
      </c>
      <c r="I171" s="12">
        <v>90.3</v>
      </c>
      <c r="J171" s="19">
        <v>84.16</v>
      </c>
      <c r="K171" s="21">
        <f t="shared" si="10"/>
        <v>81.487</v>
      </c>
    </row>
    <row r="172" spans="1:11" ht="18.75" customHeight="1">
      <c r="A172" s="11">
        <v>169</v>
      </c>
      <c r="B172" s="10" t="str">
        <f t="shared" si="13"/>
        <v>2022025</v>
      </c>
      <c r="C172" s="10" t="s">
        <v>14</v>
      </c>
      <c r="D172" s="10" t="s">
        <v>21</v>
      </c>
      <c r="E172" s="10" t="str">
        <f>"王万利"</f>
        <v>王万利</v>
      </c>
      <c r="F172" s="10" t="str">
        <f>"20229123028"</f>
        <v>20229123028</v>
      </c>
      <c r="G172" s="12">
        <v>93.5</v>
      </c>
      <c r="H172" s="12">
        <v>89.3</v>
      </c>
      <c r="I172" s="12">
        <v>91.4</v>
      </c>
      <c r="J172" s="19">
        <v>83.54</v>
      </c>
      <c r="K172" s="21">
        <f t="shared" si="10"/>
        <v>81.328</v>
      </c>
    </row>
    <row r="173" spans="1:11" ht="18.75" customHeight="1">
      <c r="A173" s="11">
        <v>170</v>
      </c>
      <c r="B173" s="10" t="str">
        <f t="shared" si="13"/>
        <v>2022025</v>
      </c>
      <c r="C173" s="10" t="s">
        <v>14</v>
      </c>
      <c r="D173" s="10" t="s">
        <v>21</v>
      </c>
      <c r="E173" s="10" t="str">
        <f>"解松勤"</f>
        <v>解松勤</v>
      </c>
      <c r="F173" s="10" t="str">
        <f>"20229122530"</f>
        <v>20229122530</v>
      </c>
      <c r="G173" s="12">
        <v>100.4</v>
      </c>
      <c r="H173" s="12">
        <v>84.8</v>
      </c>
      <c r="I173" s="12">
        <v>92.6</v>
      </c>
      <c r="J173" s="19">
        <v>82.76</v>
      </c>
      <c r="K173" s="21">
        <f t="shared" si="10"/>
        <v>81.08200000000001</v>
      </c>
    </row>
    <row r="174" spans="1:11" ht="18.75" customHeight="1">
      <c r="A174" s="11">
        <v>171</v>
      </c>
      <c r="B174" s="10" t="str">
        <f t="shared" si="13"/>
        <v>2022025</v>
      </c>
      <c r="C174" s="10" t="s">
        <v>14</v>
      </c>
      <c r="D174" s="10" t="s">
        <v>21</v>
      </c>
      <c r="E174" s="10" t="str">
        <f>"盛圆圆"</f>
        <v>盛圆圆</v>
      </c>
      <c r="F174" s="10" t="str">
        <f>"20229122729"</f>
        <v>20229122729</v>
      </c>
      <c r="G174" s="12">
        <v>101.2</v>
      </c>
      <c r="H174" s="12">
        <v>89.3</v>
      </c>
      <c r="I174" s="12">
        <v>95.25</v>
      </c>
      <c r="J174" s="19">
        <v>80.8</v>
      </c>
      <c r="K174" s="21">
        <f t="shared" si="10"/>
        <v>80.3725</v>
      </c>
    </row>
    <row r="175" spans="1:11" s="5" customFormat="1" ht="18.75" customHeight="1">
      <c r="A175" s="11">
        <v>172</v>
      </c>
      <c r="B175" s="10" t="str">
        <f t="shared" si="13"/>
        <v>2022025</v>
      </c>
      <c r="C175" s="10" t="s">
        <v>14</v>
      </c>
      <c r="D175" s="10" t="s">
        <v>21</v>
      </c>
      <c r="E175" s="10" t="str">
        <f>"姜文祥"</f>
        <v>姜文祥</v>
      </c>
      <c r="F175" s="10" t="str">
        <f>"20229123024"</f>
        <v>20229123024</v>
      </c>
      <c r="G175" s="12">
        <v>104.2</v>
      </c>
      <c r="H175" s="12">
        <v>69.7</v>
      </c>
      <c r="I175" s="12">
        <v>86.95</v>
      </c>
      <c r="J175" s="19">
        <v>83.04</v>
      </c>
      <c r="K175" s="21">
        <f t="shared" si="10"/>
        <v>79.8655</v>
      </c>
    </row>
    <row r="176" spans="1:11" ht="18.75" customHeight="1">
      <c r="A176" s="11">
        <v>173</v>
      </c>
      <c r="B176" s="10" t="str">
        <f t="shared" si="13"/>
        <v>2022025</v>
      </c>
      <c r="C176" s="10" t="s">
        <v>14</v>
      </c>
      <c r="D176" s="10" t="s">
        <v>21</v>
      </c>
      <c r="E176" s="10" t="str">
        <f>"黄英"</f>
        <v>黄英</v>
      </c>
      <c r="F176" s="10" t="str">
        <f>"20229123206"</f>
        <v>20229123206</v>
      </c>
      <c r="G176" s="12">
        <v>98</v>
      </c>
      <c r="H176" s="12">
        <v>94.8</v>
      </c>
      <c r="I176" s="12">
        <v>96.4</v>
      </c>
      <c r="J176" s="19">
        <v>79.56</v>
      </c>
      <c r="K176" s="21">
        <f t="shared" si="10"/>
        <v>79.792</v>
      </c>
    </row>
    <row r="177" spans="1:11" ht="18.75" customHeight="1">
      <c r="A177" s="11">
        <v>174</v>
      </c>
      <c r="B177" s="10" t="str">
        <f t="shared" si="13"/>
        <v>2022025</v>
      </c>
      <c r="C177" s="10" t="s">
        <v>14</v>
      </c>
      <c r="D177" s="10" t="s">
        <v>21</v>
      </c>
      <c r="E177" s="10" t="str">
        <f>"董兰兰"</f>
        <v>董兰兰</v>
      </c>
      <c r="F177" s="10" t="str">
        <f>"20229122702"</f>
        <v>20229122702</v>
      </c>
      <c r="G177" s="12">
        <v>105.3</v>
      </c>
      <c r="H177" s="12">
        <v>78.1</v>
      </c>
      <c r="I177" s="12">
        <v>91.7</v>
      </c>
      <c r="J177" s="19">
        <v>80.82</v>
      </c>
      <c r="K177" s="21">
        <f t="shared" si="10"/>
        <v>79.499</v>
      </c>
    </row>
    <row r="178" spans="1:11" ht="18.75" customHeight="1">
      <c r="A178" s="11">
        <v>175</v>
      </c>
      <c r="B178" s="10" t="str">
        <f t="shared" si="13"/>
        <v>2022025</v>
      </c>
      <c r="C178" s="10" t="s">
        <v>14</v>
      </c>
      <c r="D178" s="10" t="s">
        <v>21</v>
      </c>
      <c r="E178" s="10" t="str">
        <f>"张沙"</f>
        <v>张沙</v>
      </c>
      <c r="F178" s="10" t="str">
        <f>"20229122412"</f>
        <v>20229122412</v>
      </c>
      <c r="G178" s="12">
        <v>106.1</v>
      </c>
      <c r="H178" s="12">
        <v>76.9</v>
      </c>
      <c r="I178" s="12">
        <v>91.5</v>
      </c>
      <c r="J178" s="19">
        <v>80.82</v>
      </c>
      <c r="K178" s="21">
        <f t="shared" si="10"/>
        <v>79.44899999999998</v>
      </c>
    </row>
    <row r="179" spans="1:11" s="5" customFormat="1" ht="18.75" customHeight="1">
      <c r="A179" s="11">
        <v>176</v>
      </c>
      <c r="B179" s="10" t="str">
        <f t="shared" si="13"/>
        <v>2022025</v>
      </c>
      <c r="C179" s="10" t="s">
        <v>14</v>
      </c>
      <c r="D179" s="10" t="s">
        <v>21</v>
      </c>
      <c r="E179" s="10" t="str">
        <f>"董可"</f>
        <v>董可</v>
      </c>
      <c r="F179" s="10" t="str">
        <f>"20229122504"</f>
        <v>20229122504</v>
      </c>
      <c r="G179" s="12">
        <v>101.4</v>
      </c>
      <c r="H179" s="12">
        <v>76.5</v>
      </c>
      <c r="I179" s="12">
        <v>88.95</v>
      </c>
      <c r="J179" s="19">
        <v>81.6</v>
      </c>
      <c r="K179" s="21">
        <f t="shared" si="10"/>
        <v>79.35749999999999</v>
      </c>
    </row>
    <row r="180" spans="1:11" ht="18.75" customHeight="1">
      <c r="A180" s="11">
        <v>177</v>
      </c>
      <c r="B180" s="10" t="str">
        <f t="shared" si="13"/>
        <v>2022025</v>
      </c>
      <c r="C180" s="10" t="s">
        <v>14</v>
      </c>
      <c r="D180" s="10" t="s">
        <v>21</v>
      </c>
      <c r="E180" s="10" t="str">
        <f>"侯兴明"</f>
        <v>侯兴明</v>
      </c>
      <c r="F180" s="10" t="str">
        <f>"20229122718"</f>
        <v>20229122718</v>
      </c>
      <c r="G180" s="12">
        <v>98.4</v>
      </c>
      <c r="H180" s="12">
        <v>75.4</v>
      </c>
      <c r="I180" s="12">
        <v>86.9</v>
      </c>
      <c r="J180" s="19">
        <v>82.2</v>
      </c>
      <c r="K180" s="21">
        <f t="shared" si="10"/>
        <v>79.265</v>
      </c>
    </row>
    <row r="181" spans="1:11" ht="18.75" customHeight="1">
      <c r="A181" s="11">
        <v>178</v>
      </c>
      <c r="B181" s="10" t="str">
        <f t="shared" si="13"/>
        <v>2022025</v>
      </c>
      <c r="C181" s="10" t="s">
        <v>14</v>
      </c>
      <c r="D181" s="10" t="s">
        <v>21</v>
      </c>
      <c r="E181" s="10" t="str">
        <f>"姜郁郁"</f>
        <v>姜郁郁</v>
      </c>
      <c r="F181" s="10" t="str">
        <f>"20229122511"</f>
        <v>20229122511</v>
      </c>
      <c r="G181" s="12">
        <v>99.8</v>
      </c>
      <c r="H181" s="12">
        <v>74.9</v>
      </c>
      <c r="I181" s="12">
        <v>87.35</v>
      </c>
      <c r="J181" s="19">
        <v>81.98</v>
      </c>
      <c r="K181" s="21">
        <f t="shared" si="10"/>
        <v>79.2235</v>
      </c>
    </row>
    <row r="182" spans="1:11" ht="18.75" customHeight="1">
      <c r="A182" s="11">
        <v>179</v>
      </c>
      <c r="B182" s="10" t="str">
        <f t="shared" si="13"/>
        <v>2022025</v>
      </c>
      <c r="C182" s="10" t="s">
        <v>14</v>
      </c>
      <c r="D182" s="10" t="s">
        <v>21</v>
      </c>
      <c r="E182" s="10" t="str">
        <f>"韩金婷"</f>
        <v>韩金婷</v>
      </c>
      <c r="F182" s="10" t="str">
        <f>"20229122716"</f>
        <v>20229122716</v>
      </c>
      <c r="G182" s="12">
        <v>111.6</v>
      </c>
      <c r="H182" s="12">
        <v>81.2</v>
      </c>
      <c r="I182" s="12">
        <v>96.4</v>
      </c>
      <c r="J182" s="19">
        <v>78.58</v>
      </c>
      <c r="K182" s="21">
        <f t="shared" si="10"/>
        <v>79.106</v>
      </c>
    </row>
    <row r="183" spans="1:11" ht="18.75" customHeight="1">
      <c r="A183" s="11">
        <v>180</v>
      </c>
      <c r="B183" s="10" t="str">
        <f t="shared" si="13"/>
        <v>2022025</v>
      </c>
      <c r="C183" s="10" t="s">
        <v>14</v>
      </c>
      <c r="D183" s="10" t="s">
        <v>21</v>
      </c>
      <c r="E183" s="10" t="str">
        <f>"王心如"</f>
        <v>王心如</v>
      </c>
      <c r="F183" s="10" t="str">
        <f>"20229122914"</f>
        <v>20229122914</v>
      </c>
      <c r="G183" s="12">
        <v>102.1</v>
      </c>
      <c r="H183" s="12">
        <v>87.6</v>
      </c>
      <c r="I183" s="12">
        <v>94.85</v>
      </c>
      <c r="J183" s="19">
        <v>79.1</v>
      </c>
      <c r="K183" s="21">
        <f t="shared" si="10"/>
        <v>79.0825</v>
      </c>
    </row>
    <row r="184" spans="1:11" ht="18.75" customHeight="1">
      <c r="A184" s="11">
        <v>181</v>
      </c>
      <c r="B184" s="10" t="str">
        <f t="shared" si="13"/>
        <v>2022025</v>
      </c>
      <c r="C184" s="10" t="s">
        <v>14</v>
      </c>
      <c r="D184" s="10" t="s">
        <v>21</v>
      </c>
      <c r="E184" s="10" t="str">
        <f>"程志伟"</f>
        <v>程志伟</v>
      </c>
      <c r="F184" s="10" t="str">
        <f>"20229123023"</f>
        <v>20229123023</v>
      </c>
      <c r="G184" s="12">
        <v>89</v>
      </c>
      <c r="H184" s="12">
        <v>92.4</v>
      </c>
      <c r="I184" s="12">
        <v>90.7</v>
      </c>
      <c r="J184" s="20">
        <v>80.44</v>
      </c>
      <c r="K184" s="21">
        <f t="shared" si="10"/>
        <v>78.98299999999999</v>
      </c>
    </row>
    <row r="185" spans="1:11" s="5" customFormat="1" ht="18.75" customHeight="1">
      <c r="A185" s="11">
        <v>182</v>
      </c>
      <c r="B185" s="10" t="str">
        <f t="shared" si="13"/>
        <v>2022025</v>
      </c>
      <c r="C185" s="10" t="s">
        <v>14</v>
      </c>
      <c r="D185" s="10" t="s">
        <v>21</v>
      </c>
      <c r="E185" s="10" t="str">
        <f>"张丽娟"</f>
        <v>张丽娟</v>
      </c>
      <c r="F185" s="10" t="str">
        <f>"20229122505"</f>
        <v>20229122505</v>
      </c>
      <c r="G185" s="12">
        <v>103.7</v>
      </c>
      <c r="H185" s="12">
        <v>79.8</v>
      </c>
      <c r="I185" s="12">
        <v>91.75</v>
      </c>
      <c r="J185" s="20">
        <v>79.8</v>
      </c>
      <c r="K185" s="21">
        <f t="shared" si="10"/>
        <v>78.7975</v>
      </c>
    </row>
    <row r="186" spans="1:11" ht="18.75" customHeight="1">
      <c r="A186" s="11">
        <v>183</v>
      </c>
      <c r="B186" s="10" t="str">
        <f t="shared" si="13"/>
        <v>2022025</v>
      </c>
      <c r="C186" s="10" t="s">
        <v>14</v>
      </c>
      <c r="D186" s="10" t="s">
        <v>21</v>
      </c>
      <c r="E186" s="10" t="str">
        <f>"赵楠"</f>
        <v>赵楠</v>
      </c>
      <c r="F186" s="10" t="str">
        <f>"20229122910"</f>
        <v>20229122910</v>
      </c>
      <c r="G186" s="12">
        <v>94.8</v>
      </c>
      <c r="H186" s="12">
        <v>79.5</v>
      </c>
      <c r="I186" s="12">
        <v>87.15</v>
      </c>
      <c r="J186" s="20">
        <v>80.1</v>
      </c>
      <c r="K186" s="21">
        <f t="shared" si="10"/>
        <v>77.8575</v>
      </c>
    </row>
    <row r="187" spans="1:11" s="2" customFormat="1" ht="18.75" customHeight="1">
      <c r="A187" s="11">
        <v>184</v>
      </c>
      <c r="B187" s="10" t="str">
        <f t="shared" si="13"/>
        <v>2022025</v>
      </c>
      <c r="C187" s="10" t="s">
        <v>14</v>
      </c>
      <c r="D187" s="10" t="s">
        <v>21</v>
      </c>
      <c r="E187" s="10" t="str">
        <f>"李浩然"</f>
        <v>李浩然</v>
      </c>
      <c r="F187" s="10" t="str">
        <f>"20229122829"</f>
        <v>20229122829</v>
      </c>
      <c r="G187" s="12">
        <v>96.8</v>
      </c>
      <c r="H187" s="12">
        <v>88.8</v>
      </c>
      <c r="I187" s="12">
        <v>92.8</v>
      </c>
      <c r="J187" s="19">
        <v>77.72</v>
      </c>
      <c r="K187" s="21">
        <f t="shared" si="10"/>
        <v>77.604</v>
      </c>
    </row>
    <row r="188" spans="1:11" ht="18.75" customHeight="1">
      <c r="A188" s="11">
        <v>185</v>
      </c>
      <c r="B188" s="10" t="str">
        <f t="shared" si="13"/>
        <v>2022025</v>
      </c>
      <c r="C188" s="10" t="s">
        <v>14</v>
      </c>
      <c r="D188" s="10" t="s">
        <v>21</v>
      </c>
      <c r="E188" s="10" t="str">
        <f>"张祥"</f>
        <v>张祥</v>
      </c>
      <c r="F188" s="10" t="str">
        <f>"20229123219"</f>
        <v>20229123219</v>
      </c>
      <c r="G188" s="12">
        <v>90.6</v>
      </c>
      <c r="H188" s="12">
        <v>88.9</v>
      </c>
      <c r="I188" s="12">
        <v>89.75</v>
      </c>
      <c r="J188" s="19">
        <v>78.3</v>
      </c>
      <c r="K188" s="21">
        <f t="shared" si="10"/>
        <v>77.2475</v>
      </c>
    </row>
    <row r="189" spans="1:11" ht="18.75" customHeight="1">
      <c r="A189" s="11">
        <v>186</v>
      </c>
      <c r="B189" s="10" t="str">
        <f t="shared" si="13"/>
        <v>2022025</v>
      </c>
      <c r="C189" s="10" t="s">
        <v>14</v>
      </c>
      <c r="D189" s="10" t="s">
        <v>21</v>
      </c>
      <c r="E189" s="10" t="str">
        <f>"胡小婷"</f>
        <v>胡小婷</v>
      </c>
      <c r="F189" s="10" t="str">
        <f>"20229122406"</f>
        <v>20229122406</v>
      </c>
      <c r="G189" s="12">
        <v>103.9</v>
      </c>
      <c r="H189" s="12">
        <v>74.2</v>
      </c>
      <c r="I189" s="12">
        <v>89.05</v>
      </c>
      <c r="J189" s="19">
        <v>69.2</v>
      </c>
      <c r="K189" s="21">
        <f t="shared" si="10"/>
        <v>70.7025</v>
      </c>
    </row>
    <row r="190" spans="1:11" ht="18.75" customHeight="1">
      <c r="A190" s="11">
        <v>187</v>
      </c>
      <c r="B190" s="10" t="str">
        <f aca="true" t="shared" si="14" ref="B190:B204">"2022026"</f>
        <v>2022026</v>
      </c>
      <c r="C190" s="10" t="s">
        <v>15</v>
      </c>
      <c r="D190" s="10" t="s">
        <v>21</v>
      </c>
      <c r="E190" s="10" t="str">
        <f>"葛侠"</f>
        <v>葛侠</v>
      </c>
      <c r="F190" s="10" t="str">
        <f>"20229123227"</f>
        <v>20229123227</v>
      </c>
      <c r="G190" s="12">
        <v>107.7</v>
      </c>
      <c r="H190" s="12">
        <v>80.9</v>
      </c>
      <c r="I190" s="12">
        <v>94.3</v>
      </c>
      <c r="J190" s="20">
        <v>87.58</v>
      </c>
      <c r="K190" s="21">
        <f t="shared" si="10"/>
        <v>84.881</v>
      </c>
    </row>
    <row r="191" spans="1:11" ht="18.75" customHeight="1">
      <c r="A191" s="11">
        <v>188</v>
      </c>
      <c r="B191" s="10" t="str">
        <f t="shared" si="14"/>
        <v>2022026</v>
      </c>
      <c r="C191" s="10" t="s">
        <v>15</v>
      </c>
      <c r="D191" s="10" t="s">
        <v>21</v>
      </c>
      <c r="E191" s="10" t="str">
        <f>"祝灵"</f>
        <v>祝灵</v>
      </c>
      <c r="F191" s="10" t="str">
        <f>"20229123305"</f>
        <v>20229123305</v>
      </c>
      <c r="G191" s="12">
        <v>100.3</v>
      </c>
      <c r="H191" s="12">
        <v>91.2</v>
      </c>
      <c r="I191" s="12">
        <v>95.75</v>
      </c>
      <c r="J191" s="19">
        <v>83.73</v>
      </c>
      <c r="K191" s="21">
        <f t="shared" si="10"/>
        <v>82.54849999999999</v>
      </c>
    </row>
    <row r="192" spans="1:11" s="2" customFormat="1" ht="18.75" customHeight="1">
      <c r="A192" s="11">
        <v>189</v>
      </c>
      <c r="B192" s="10" t="str">
        <f t="shared" si="14"/>
        <v>2022026</v>
      </c>
      <c r="C192" s="10" t="s">
        <v>15</v>
      </c>
      <c r="D192" s="10" t="s">
        <v>21</v>
      </c>
      <c r="E192" s="10" t="str">
        <f>"车美娟"</f>
        <v>车美娟</v>
      </c>
      <c r="F192" s="10" t="str">
        <f>"20229123226"</f>
        <v>20229123226</v>
      </c>
      <c r="G192" s="12">
        <v>101.3</v>
      </c>
      <c r="H192" s="12">
        <v>90</v>
      </c>
      <c r="I192" s="12">
        <v>95.65</v>
      </c>
      <c r="J192" s="19">
        <v>82.4</v>
      </c>
      <c r="K192" s="21">
        <f t="shared" si="10"/>
        <v>81.5925</v>
      </c>
    </row>
    <row r="193" spans="1:11" ht="18.75" customHeight="1">
      <c r="A193" s="11">
        <v>190</v>
      </c>
      <c r="B193" s="10" t="str">
        <f t="shared" si="14"/>
        <v>2022026</v>
      </c>
      <c r="C193" s="10" t="s">
        <v>15</v>
      </c>
      <c r="D193" s="10" t="s">
        <v>21</v>
      </c>
      <c r="E193" s="10" t="str">
        <f>"李雪"</f>
        <v>李雪</v>
      </c>
      <c r="F193" s="10" t="str">
        <f>"20229123223"</f>
        <v>20229123223</v>
      </c>
      <c r="G193" s="12">
        <v>88.2</v>
      </c>
      <c r="H193" s="12">
        <v>69.4</v>
      </c>
      <c r="I193" s="12">
        <v>78.8</v>
      </c>
      <c r="J193" s="19">
        <v>87.56</v>
      </c>
      <c r="K193" s="21">
        <f t="shared" si="10"/>
        <v>80.99199999999999</v>
      </c>
    </row>
    <row r="194" spans="1:11" ht="18.75" customHeight="1">
      <c r="A194" s="11">
        <v>191</v>
      </c>
      <c r="B194" s="10" t="str">
        <f t="shared" si="14"/>
        <v>2022026</v>
      </c>
      <c r="C194" s="10" t="s">
        <v>15</v>
      </c>
      <c r="D194" s="10" t="s">
        <v>21</v>
      </c>
      <c r="E194" s="10" t="str">
        <f>"孟妮"</f>
        <v>孟妮</v>
      </c>
      <c r="F194" s="10" t="str">
        <f>"20229123229"</f>
        <v>20229123229</v>
      </c>
      <c r="G194" s="12">
        <v>86.4</v>
      </c>
      <c r="H194" s="12">
        <v>77</v>
      </c>
      <c r="I194" s="12">
        <v>81.7</v>
      </c>
      <c r="J194" s="19">
        <v>84.3</v>
      </c>
      <c r="K194" s="21">
        <f t="shared" si="10"/>
        <v>79.43499999999999</v>
      </c>
    </row>
    <row r="195" spans="1:11" ht="18.75" customHeight="1">
      <c r="A195" s="11">
        <v>192</v>
      </c>
      <c r="B195" s="10" t="str">
        <f t="shared" si="14"/>
        <v>2022026</v>
      </c>
      <c r="C195" s="10" t="s">
        <v>15</v>
      </c>
      <c r="D195" s="10" t="s">
        <v>21</v>
      </c>
      <c r="E195" s="10" t="str">
        <f>"张娟丽"</f>
        <v>张娟丽</v>
      </c>
      <c r="F195" s="10" t="str">
        <f>"20229123301"</f>
        <v>20229123301</v>
      </c>
      <c r="G195" s="12">
        <v>81.5</v>
      </c>
      <c r="H195" s="12">
        <v>89.7</v>
      </c>
      <c r="I195" s="12">
        <v>85.6</v>
      </c>
      <c r="J195" s="19">
        <v>81.1</v>
      </c>
      <c r="K195" s="21">
        <f t="shared" si="10"/>
        <v>78.16999999999999</v>
      </c>
    </row>
    <row r="196" spans="1:11" ht="18.75" customHeight="1">
      <c r="A196" s="11">
        <v>193</v>
      </c>
      <c r="B196" s="10" t="str">
        <f t="shared" si="14"/>
        <v>2022026</v>
      </c>
      <c r="C196" s="10" t="s">
        <v>15</v>
      </c>
      <c r="D196" s="10" t="s">
        <v>21</v>
      </c>
      <c r="E196" s="10" t="str">
        <f>"张丽娟"</f>
        <v>张丽娟</v>
      </c>
      <c r="F196" s="10" t="str">
        <f>"20229123306"</f>
        <v>20229123306</v>
      </c>
      <c r="G196" s="12">
        <v>97.4</v>
      </c>
      <c r="H196" s="12">
        <v>66.4</v>
      </c>
      <c r="I196" s="12">
        <v>81.9</v>
      </c>
      <c r="J196" s="19">
        <v>81.35</v>
      </c>
      <c r="K196" s="21">
        <f aca="true" t="shared" si="15" ref="K196:K234">I196/1.2*0.3+J196*0.7</f>
        <v>77.42</v>
      </c>
    </row>
    <row r="197" spans="1:11" ht="18.75" customHeight="1">
      <c r="A197" s="11">
        <v>194</v>
      </c>
      <c r="B197" s="10" t="str">
        <f t="shared" si="14"/>
        <v>2022026</v>
      </c>
      <c r="C197" s="10" t="s">
        <v>15</v>
      </c>
      <c r="D197" s="10" t="s">
        <v>21</v>
      </c>
      <c r="E197" s="10" t="str">
        <f>"高雅"</f>
        <v>高雅</v>
      </c>
      <c r="F197" s="10" t="str">
        <f>"20229123220"</f>
        <v>20229123220</v>
      </c>
      <c r="G197" s="12">
        <v>84.5</v>
      </c>
      <c r="H197" s="12">
        <v>55.5</v>
      </c>
      <c r="I197" s="12">
        <v>70</v>
      </c>
      <c r="J197" s="19">
        <v>84.2</v>
      </c>
      <c r="K197" s="21">
        <f t="shared" si="15"/>
        <v>76.44</v>
      </c>
    </row>
    <row r="198" spans="1:11" ht="18.75" customHeight="1">
      <c r="A198" s="11">
        <v>195</v>
      </c>
      <c r="B198" s="10" t="str">
        <f t="shared" si="14"/>
        <v>2022026</v>
      </c>
      <c r="C198" s="10" t="s">
        <v>15</v>
      </c>
      <c r="D198" s="10" t="s">
        <v>21</v>
      </c>
      <c r="E198" s="10" t="str">
        <f>"李战军"</f>
        <v>李战军</v>
      </c>
      <c r="F198" s="10" t="str">
        <f>"20229123303"</f>
        <v>20229123303</v>
      </c>
      <c r="G198" s="12">
        <v>66.7</v>
      </c>
      <c r="H198" s="12">
        <v>80.6</v>
      </c>
      <c r="I198" s="12">
        <v>73.65</v>
      </c>
      <c r="J198" s="19">
        <v>79.44</v>
      </c>
      <c r="K198" s="21">
        <f t="shared" si="15"/>
        <v>74.0205</v>
      </c>
    </row>
    <row r="199" spans="1:11" s="5" customFormat="1" ht="18.75" customHeight="1">
      <c r="A199" s="11">
        <v>196</v>
      </c>
      <c r="B199" s="10" t="str">
        <f t="shared" si="14"/>
        <v>2022026</v>
      </c>
      <c r="C199" s="10" t="s">
        <v>15</v>
      </c>
      <c r="D199" s="10" t="s">
        <v>21</v>
      </c>
      <c r="E199" s="10" t="str">
        <f>"黄光明"</f>
        <v>黄光明</v>
      </c>
      <c r="F199" s="10" t="str">
        <f>"20229123230"</f>
        <v>20229123230</v>
      </c>
      <c r="G199" s="12">
        <v>79.7</v>
      </c>
      <c r="H199" s="12">
        <v>75.4</v>
      </c>
      <c r="I199" s="12">
        <v>77.55</v>
      </c>
      <c r="J199" s="20">
        <v>76.51</v>
      </c>
      <c r="K199" s="21">
        <f t="shared" si="15"/>
        <v>72.9445</v>
      </c>
    </row>
    <row r="200" spans="1:11" ht="18.75" customHeight="1">
      <c r="A200" s="11">
        <v>197</v>
      </c>
      <c r="B200" s="10" t="str">
        <f t="shared" si="14"/>
        <v>2022026</v>
      </c>
      <c r="C200" s="10" t="s">
        <v>15</v>
      </c>
      <c r="D200" s="10" t="s">
        <v>21</v>
      </c>
      <c r="E200" s="10" t="str">
        <f>"岳桂彩"</f>
        <v>岳桂彩</v>
      </c>
      <c r="F200" s="10" t="str">
        <f>"20229123224"</f>
        <v>20229123224</v>
      </c>
      <c r="G200" s="12">
        <v>80.2</v>
      </c>
      <c r="H200" s="12">
        <v>67.8</v>
      </c>
      <c r="I200" s="12">
        <v>74</v>
      </c>
      <c r="J200" s="19">
        <v>77.7</v>
      </c>
      <c r="K200" s="21">
        <f t="shared" si="15"/>
        <v>72.89</v>
      </c>
    </row>
    <row r="201" spans="1:11" ht="18.75" customHeight="1">
      <c r="A201" s="11">
        <v>198</v>
      </c>
      <c r="B201" s="14" t="str">
        <f t="shared" si="14"/>
        <v>2022026</v>
      </c>
      <c r="C201" s="14" t="s">
        <v>15</v>
      </c>
      <c r="D201" s="14" t="s">
        <v>21</v>
      </c>
      <c r="E201" s="14" t="str">
        <f>"高曼"</f>
        <v>高曼</v>
      </c>
      <c r="F201" s="14" t="str">
        <f>"20229123222"</f>
        <v>20229123222</v>
      </c>
      <c r="G201" s="15">
        <v>80.8</v>
      </c>
      <c r="H201" s="15">
        <v>52.1</v>
      </c>
      <c r="I201" s="15">
        <v>66.45</v>
      </c>
      <c r="J201" s="20">
        <v>77.96</v>
      </c>
      <c r="K201" s="21">
        <f t="shared" si="15"/>
        <v>71.1845</v>
      </c>
    </row>
    <row r="202" spans="1:11" ht="18.75" customHeight="1">
      <c r="A202" s="11">
        <v>199</v>
      </c>
      <c r="B202" s="10" t="str">
        <f t="shared" si="14"/>
        <v>2022026</v>
      </c>
      <c r="C202" s="10" t="s">
        <v>15</v>
      </c>
      <c r="D202" s="10" t="s">
        <v>21</v>
      </c>
      <c r="E202" s="10" t="str">
        <f>"潘颖春"</f>
        <v>潘颖春</v>
      </c>
      <c r="F202" s="10" t="str">
        <f>"20229123225"</f>
        <v>20229123225</v>
      </c>
      <c r="G202" s="12">
        <v>75.4</v>
      </c>
      <c r="H202" s="12">
        <v>41.6</v>
      </c>
      <c r="I202" s="12">
        <v>58.5</v>
      </c>
      <c r="J202" s="20">
        <v>72</v>
      </c>
      <c r="K202" s="21">
        <f t="shared" si="15"/>
        <v>65.025</v>
      </c>
    </row>
    <row r="203" spans="1:11" s="3" customFormat="1" ht="18.75" customHeight="1">
      <c r="A203" s="11">
        <v>200</v>
      </c>
      <c r="B203" s="10" t="str">
        <f t="shared" si="14"/>
        <v>2022026</v>
      </c>
      <c r="C203" s="10" t="s">
        <v>15</v>
      </c>
      <c r="D203" s="10" t="s">
        <v>21</v>
      </c>
      <c r="E203" s="10" t="str">
        <f>"张红梅"</f>
        <v>张红梅</v>
      </c>
      <c r="F203" s="10" t="str">
        <f>"20229123221"</f>
        <v>20229123221</v>
      </c>
      <c r="G203" s="12">
        <v>77.4</v>
      </c>
      <c r="H203" s="12">
        <v>80.4</v>
      </c>
      <c r="I203" s="12">
        <v>78.9</v>
      </c>
      <c r="J203" s="19">
        <v>0</v>
      </c>
      <c r="K203" s="21">
        <f t="shared" si="15"/>
        <v>19.725000000000005</v>
      </c>
    </row>
    <row r="204" spans="1:11" s="5" customFormat="1" ht="18.75" customHeight="1">
      <c r="A204" s="11">
        <v>201</v>
      </c>
      <c r="B204" s="10" t="str">
        <f t="shared" si="14"/>
        <v>2022026</v>
      </c>
      <c r="C204" s="10" t="s">
        <v>15</v>
      </c>
      <c r="D204" s="10" t="s">
        <v>21</v>
      </c>
      <c r="E204" s="10" t="str">
        <f>"李子怡"</f>
        <v>李子怡</v>
      </c>
      <c r="F204" s="10" t="str">
        <f>"20229123228"</f>
        <v>20229123228</v>
      </c>
      <c r="G204" s="12">
        <v>71.8</v>
      </c>
      <c r="H204" s="12">
        <v>84.5</v>
      </c>
      <c r="I204" s="12">
        <v>78.15</v>
      </c>
      <c r="J204" s="19">
        <v>0</v>
      </c>
      <c r="K204" s="21">
        <f t="shared" si="15"/>
        <v>19.537500000000005</v>
      </c>
    </row>
    <row r="205" spans="1:11" ht="18.75" customHeight="1">
      <c r="A205" s="11">
        <v>202</v>
      </c>
      <c r="B205" s="10" t="str">
        <f aca="true" t="shared" si="16" ref="B205:B210">"2022027"</f>
        <v>2022027</v>
      </c>
      <c r="C205" s="10" t="s">
        <v>16</v>
      </c>
      <c r="D205" s="10" t="s">
        <v>21</v>
      </c>
      <c r="E205" s="10" t="str">
        <f>"陈曼如"</f>
        <v>陈曼如</v>
      </c>
      <c r="F205" s="10" t="str">
        <f>"20229123401"</f>
        <v>20229123401</v>
      </c>
      <c r="G205" s="12">
        <v>106.1</v>
      </c>
      <c r="H205" s="12">
        <v>89.95</v>
      </c>
      <c r="I205" s="12">
        <v>98.03</v>
      </c>
      <c r="J205" s="10">
        <v>81.22</v>
      </c>
      <c r="K205" s="21">
        <f t="shared" si="15"/>
        <v>81.36149999999999</v>
      </c>
    </row>
    <row r="206" spans="1:11" ht="18.75" customHeight="1">
      <c r="A206" s="11">
        <v>203</v>
      </c>
      <c r="B206" s="10" t="str">
        <f t="shared" si="16"/>
        <v>2022027</v>
      </c>
      <c r="C206" s="10" t="s">
        <v>16</v>
      </c>
      <c r="D206" s="10" t="s">
        <v>21</v>
      </c>
      <c r="E206" s="10" t="str">
        <f>"王超林"</f>
        <v>王超林</v>
      </c>
      <c r="F206" s="10" t="str">
        <f>"20229123402"</f>
        <v>20229123402</v>
      </c>
      <c r="G206" s="12">
        <v>94.4</v>
      </c>
      <c r="H206" s="12">
        <v>81.95</v>
      </c>
      <c r="I206" s="12">
        <v>88.18</v>
      </c>
      <c r="J206" s="10">
        <v>82.52</v>
      </c>
      <c r="K206" s="21">
        <f t="shared" si="15"/>
        <v>79.809</v>
      </c>
    </row>
    <row r="207" spans="1:11" ht="18.75" customHeight="1">
      <c r="A207" s="11">
        <v>204</v>
      </c>
      <c r="B207" s="10" t="str">
        <f t="shared" si="16"/>
        <v>2022027</v>
      </c>
      <c r="C207" s="10" t="s">
        <v>16</v>
      </c>
      <c r="D207" s="10" t="s">
        <v>21</v>
      </c>
      <c r="E207" s="10" t="str">
        <f>"时小慧"</f>
        <v>时小慧</v>
      </c>
      <c r="F207" s="10" t="str">
        <f>"20229123403"</f>
        <v>20229123403</v>
      </c>
      <c r="G207" s="12">
        <v>101.2</v>
      </c>
      <c r="H207" s="12">
        <v>84.05</v>
      </c>
      <c r="I207" s="12">
        <v>92.63</v>
      </c>
      <c r="J207" s="10">
        <v>80.22</v>
      </c>
      <c r="K207" s="21">
        <f t="shared" si="15"/>
        <v>79.3115</v>
      </c>
    </row>
    <row r="208" spans="1:11" ht="18.75" customHeight="1">
      <c r="A208" s="11">
        <v>205</v>
      </c>
      <c r="B208" s="10" t="str">
        <f t="shared" si="16"/>
        <v>2022027</v>
      </c>
      <c r="C208" s="10" t="s">
        <v>16</v>
      </c>
      <c r="D208" s="10" t="s">
        <v>21</v>
      </c>
      <c r="E208" s="10" t="str">
        <f>"丁梦莹"</f>
        <v>丁梦莹</v>
      </c>
      <c r="F208" s="10" t="str">
        <f>"20229123316"</f>
        <v>20229123316</v>
      </c>
      <c r="G208" s="12">
        <v>90.3</v>
      </c>
      <c r="H208" s="12">
        <v>86.8</v>
      </c>
      <c r="I208" s="12">
        <v>88.55</v>
      </c>
      <c r="J208" s="10">
        <v>80.32</v>
      </c>
      <c r="K208" s="21">
        <f t="shared" si="15"/>
        <v>78.36149999999999</v>
      </c>
    </row>
    <row r="209" spans="1:11" ht="18.75" customHeight="1">
      <c r="A209" s="11">
        <v>206</v>
      </c>
      <c r="B209" s="10" t="str">
        <f t="shared" si="16"/>
        <v>2022027</v>
      </c>
      <c r="C209" s="10" t="s">
        <v>16</v>
      </c>
      <c r="D209" s="10" t="s">
        <v>21</v>
      </c>
      <c r="E209" s="10" t="str">
        <f>"朱子嵩"</f>
        <v>朱子嵩</v>
      </c>
      <c r="F209" s="10" t="str">
        <f>"20229123313"</f>
        <v>20229123313</v>
      </c>
      <c r="G209" s="12">
        <v>91.7</v>
      </c>
      <c r="H209" s="12">
        <v>84.95</v>
      </c>
      <c r="I209" s="12">
        <v>88.33</v>
      </c>
      <c r="J209" s="10">
        <v>79.56</v>
      </c>
      <c r="K209" s="21">
        <f t="shared" si="15"/>
        <v>77.7745</v>
      </c>
    </row>
    <row r="210" spans="1:11" ht="18.75" customHeight="1">
      <c r="A210" s="11">
        <v>207</v>
      </c>
      <c r="B210" s="10" t="str">
        <f t="shared" si="16"/>
        <v>2022027</v>
      </c>
      <c r="C210" s="10" t="s">
        <v>16</v>
      </c>
      <c r="D210" s="10" t="s">
        <v>21</v>
      </c>
      <c r="E210" s="10" t="str">
        <f>"王慧敏"</f>
        <v>王慧敏</v>
      </c>
      <c r="F210" s="10" t="str">
        <f>"20229123408"</f>
        <v>20229123408</v>
      </c>
      <c r="G210" s="12">
        <v>85.9</v>
      </c>
      <c r="H210" s="12">
        <v>91.6</v>
      </c>
      <c r="I210" s="12">
        <v>88.75</v>
      </c>
      <c r="J210" s="10">
        <v>79.38</v>
      </c>
      <c r="K210" s="21">
        <f t="shared" si="15"/>
        <v>77.7535</v>
      </c>
    </row>
    <row r="211" spans="1:11" ht="18.75" customHeight="1">
      <c r="A211" s="11">
        <v>208</v>
      </c>
      <c r="B211" s="10" t="str">
        <f aca="true" t="shared" si="17" ref="B211:B216">"2022028"</f>
        <v>2022028</v>
      </c>
      <c r="C211" s="10" t="s">
        <v>19</v>
      </c>
      <c r="D211" s="10" t="s">
        <v>21</v>
      </c>
      <c r="E211" s="10" t="str">
        <f>"杨光"</f>
        <v>杨光</v>
      </c>
      <c r="F211" s="10" t="str">
        <f>"20229121917"</f>
        <v>20229121917</v>
      </c>
      <c r="G211" s="12">
        <v>88.7</v>
      </c>
      <c r="H211" s="12">
        <v>98.86</v>
      </c>
      <c r="I211" s="12">
        <v>93.78</v>
      </c>
      <c r="J211" s="10">
        <v>79.4</v>
      </c>
      <c r="K211" s="21">
        <f t="shared" si="15"/>
        <v>79.025</v>
      </c>
    </row>
    <row r="212" spans="1:11" ht="18.75" customHeight="1">
      <c r="A212" s="11">
        <v>209</v>
      </c>
      <c r="B212" s="10" t="str">
        <f t="shared" si="17"/>
        <v>2022028</v>
      </c>
      <c r="C212" s="10" t="s">
        <v>19</v>
      </c>
      <c r="D212" s="10" t="s">
        <v>21</v>
      </c>
      <c r="E212" s="10" t="str">
        <f>"马影"</f>
        <v>马影</v>
      </c>
      <c r="F212" s="10" t="str">
        <f>"20229121919"</f>
        <v>20229121919</v>
      </c>
      <c r="G212" s="12">
        <v>69.8</v>
      </c>
      <c r="H212" s="12">
        <v>93.2</v>
      </c>
      <c r="I212" s="12">
        <v>81.5</v>
      </c>
      <c r="J212" s="10">
        <v>83.2</v>
      </c>
      <c r="K212" s="21">
        <f t="shared" si="15"/>
        <v>78.615</v>
      </c>
    </row>
    <row r="213" spans="1:11" ht="18.75" customHeight="1">
      <c r="A213" s="11">
        <v>210</v>
      </c>
      <c r="B213" s="10" t="str">
        <f t="shared" si="17"/>
        <v>2022028</v>
      </c>
      <c r="C213" s="10" t="s">
        <v>19</v>
      </c>
      <c r="D213" s="10" t="s">
        <v>21</v>
      </c>
      <c r="E213" s="10" t="str">
        <f>"孙思伟"</f>
        <v>孙思伟</v>
      </c>
      <c r="F213" s="10" t="str">
        <f>"20229121916"</f>
        <v>20229121916</v>
      </c>
      <c r="G213" s="12">
        <v>76.7</v>
      </c>
      <c r="H213" s="12">
        <v>97.02</v>
      </c>
      <c r="I213" s="12">
        <v>86.86</v>
      </c>
      <c r="J213" s="10">
        <v>81.2</v>
      </c>
      <c r="K213" s="21">
        <f t="shared" si="15"/>
        <v>78.55499999999999</v>
      </c>
    </row>
    <row r="214" spans="1:11" ht="18.75" customHeight="1">
      <c r="A214" s="11">
        <v>211</v>
      </c>
      <c r="B214" s="10" t="str">
        <f t="shared" si="17"/>
        <v>2022028</v>
      </c>
      <c r="C214" s="10" t="s">
        <v>19</v>
      </c>
      <c r="D214" s="10" t="s">
        <v>21</v>
      </c>
      <c r="E214" s="10" t="str">
        <f>"马滢"</f>
        <v>马滢</v>
      </c>
      <c r="F214" s="10" t="str">
        <f>"20229121918"</f>
        <v>20229121918</v>
      </c>
      <c r="G214" s="12">
        <v>89.9</v>
      </c>
      <c r="H214" s="12">
        <v>89.3</v>
      </c>
      <c r="I214" s="12">
        <v>89.6</v>
      </c>
      <c r="J214" s="10">
        <v>77.2</v>
      </c>
      <c r="K214" s="21">
        <f t="shared" si="15"/>
        <v>76.44</v>
      </c>
    </row>
    <row r="215" spans="1:11" ht="18.75" customHeight="1">
      <c r="A215" s="11">
        <v>212</v>
      </c>
      <c r="B215" s="10" t="str">
        <f t="shared" si="17"/>
        <v>2022028</v>
      </c>
      <c r="C215" s="10" t="s">
        <v>19</v>
      </c>
      <c r="D215" s="10" t="s">
        <v>21</v>
      </c>
      <c r="E215" s="10" t="str">
        <f>"吴爱玲"</f>
        <v>吴爱玲</v>
      </c>
      <c r="F215" s="10" t="str">
        <f>"20229121920"</f>
        <v>20229121920</v>
      </c>
      <c r="G215" s="12">
        <v>72.1</v>
      </c>
      <c r="H215" s="12">
        <v>91.82</v>
      </c>
      <c r="I215" s="12">
        <v>81.96</v>
      </c>
      <c r="J215" s="10">
        <v>79.2</v>
      </c>
      <c r="K215" s="21">
        <f t="shared" si="15"/>
        <v>75.92999999999999</v>
      </c>
    </row>
    <row r="216" spans="1:11" ht="18.75" customHeight="1">
      <c r="A216" s="11">
        <v>213</v>
      </c>
      <c r="B216" s="10" t="str">
        <f t="shared" si="17"/>
        <v>2022028</v>
      </c>
      <c r="C216" s="10" t="s">
        <v>19</v>
      </c>
      <c r="D216" s="10" t="s">
        <v>21</v>
      </c>
      <c r="E216" s="10" t="str">
        <f>"郑长燕"</f>
        <v>郑长燕</v>
      </c>
      <c r="F216" s="10" t="str">
        <f>"20229121921"</f>
        <v>20229121921</v>
      </c>
      <c r="G216" s="12">
        <v>68</v>
      </c>
      <c r="H216" s="12">
        <v>88.02</v>
      </c>
      <c r="I216" s="12">
        <v>78.01</v>
      </c>
      <c r="J216" s="10">
        <v>74.6</v>
      </c>
      <c r="K216" s="21">
        <f t="shared" si="15"/>
        <v>71.7225</v>
      </c>
    </row>
    <row r="217" spans="1:11" ht="18.75" customHeight="1">
      <c r="A217" s="11">
        <v>214</v>
      </c>
      <c r="B217" s="10" t="str">
        <f aca="true" t="shared" si="18" ref="B217:B226">"2022029"</f>
        <v>2022029</v>
      </c>
      <c r="C217" s="10" t="s">
        <v>19</v>
      </c>
      <c r="D217" s="10" t="s">
        <v>21</v>
      </c>
      <c r="E217" s="10" t="str">
        <f>"程静冉"</f>
        <v>程静冉</v>
      </c>
      <c r="F217" s="10" t="str">
        <f>"20229122013"</f>
        <v>20229122013</v>
      </c>
      <c r="G217" s="12">
        <v>106.6</v>
      </c>
      <c r="H217" s="12">
        <v>110.94</v>
      </c>
      <c r="I217" s="12">
        <v>108.77</v>
      </c>
      <c r="J217" s="10">
        <v>83.6</v>
      </c>
      <c r="K217" s="21">
        <f t="shared" si="15"/>
        <v>85.71249999999999</v>
      </c>
    </row>
    <row r="218" spans="1:11" ht="18.75" customHeight="1">
      <c r="A218" s="11">
        <v>215</v>
      </c>
      <c r="B218" s="10" t="str">
        <f t="shared" si="18"/>
        <v>2022029</v>
      </c>
      <c r="C218" s="10" t="s">
        <v>19</v>
      </c>
      <c r="D218" s="10" t="s">
        <v>21</v>
      </c>
      <c r="E218" s="10" t="str">
        <f>"王雪"</f>
        <v>王雪</v>
      </c>
      <c r="F218" s="10" t="str">
        <f>"20229122113"</f>
        <v>20229122113</v>
      </c>
      <c r="G218" s="12">
        <v>85.4</v>
      </c>
      <c r="H218" s="12">
        <v>109.66</v>
      </c>
      <c r="I218" s="12">
        <v>97.53</v>
      </c>
      <c r="J218" s="10">
        <v>85.8</v>
      </c>
      <c r="K218" s="21">
        <f t="shared" si="15"/>
        <v>84.4425</v>
      </c>
    </row>
    <row r="219" spans="1:11" ht="18.75" customHeight="1">
      <c r="A219" s="11">
        <v>216</v>
      </c>
      <c r="B219" s="10" t="str">
        <f t="shared" si="18"/>
        <v>2022029</v>
      </c>
      <c r="C219" s="10" t="s">
        <v>19</v>
      </c>
      <c r="D219" s="10" t="s">
        <v>21</v>
      </c>
      <c r="E219" s="10" t="str">
        <f>"李姗姗"</f>
        <v>李姗姗</v>
      </c>
      <c r="F219" s="10" t="str">
        <f>"20229122029"</f>
        <v>20229122029</v>
      </c>
      <c r="G219" s="12">
        <v>94</v>
      </c>
      <c r="H219" s="12">
        <v>99.92</v>
      </c>
      <c r="I219" s="12">
        <v>96.96</v>
      </c>
      <c r="J219" s="10">
        <v>85.2</v>
      </c>
      <c r="K219" s="21">
        <f t="shared" si="15"/>
        <v>83.88</v>
      </c>
    </row>
    <row r="220" spans="1:11" ht="18.75" customHeight="1">
      <c r="A220" s="11">
        <v>217</v>
      </c>
      <c r="B220" s="10" t="str">
        <f t="shared" si="18"/>
        <v>2022029</v>
      </c>
      <c r="C220" s="10" t="s">
        <v>19</v>
      </c>
      <c r="D220" s="10" t="s">
        <v>21</v>
      </c>
      <c r="E220" s="10" t="str">
        <f>"刘雨梦"</f>
        <v>刘雨梦</v>
      </c>
      <c r="F220" s="10" t="str">
        <f>"20229122124"</f>
        <v>20229122124</v>
      </c>
      <c r="G220" s="12">
        <v>99.5</v>
      </c>
      <c r="H220" s="12">
        <v>102.12</v>
      </c>
      <c r="I220" s="12">
        <v>100.81</v>
      </c>
      <c r="J220" s="10">
        <v>83.6</v>
      </c>
      <c r="K220" s="21">
        <f t="shared" si="15"/>
        <v>83.7225</v>
      </c>
    </row>
    <row r="221" spans="1:11" ht="18.75" customHeight="1">
      <c r="A221" s="11">
        <v>218</v>
      </c>
      <c r="B221" s="10" t="str">
        <f t="shared" si="18"/>
        <v>2022029</v>
      </c>
      <c r="C221" s="10" t="s">
        <v>19</v>
      </c>
      <c r="D221" s="10" t="s">
        <v>21</v>
      </c>
      <c r="E221" s="10" t="str">
        <f>"赵亚强"</f>
        <v>赵亚强</v>
      </c>
      <c r="F221" s="10" t="str">
        <f>"20229122102"</f>
        <v>20229122102</v>
      </c>
      <c r="G221" s="12">
        <v>94.3</v>
      </c>
      <c r="H221" s="12">
        <v>103.06</v>
      </c>
      <c r="I221" s="12">
        <v>98.68</v>
      </c>
      <c r="J221" s="10">
        <v>83.8</v>
      </c>
      <c r="K221" s="21">
        <f t="shared" si="15"/>
        <v>83.33</v>
      </c>
    </row>
    <row r="222" spans="1:11" ht="18.75" customHeight="1">
      <c r="A222" s="11">
        <v>219</v>
      </c>
      <c r="B222" s="10" t="str">
        <f t="shared" si="18"/>
        <v>2022029</v>
      </c>
      <c r="C222" s="10" t="s">
        <v>19</v>
      </c>
      <c r="D222" s="10" t="s">
        <v>21</v>
      </c>
      <c r="E222" s="10" t="str">
        <f>"杨佳琪"</f>
        <v>杨佳琪</v>
      </c>
      <c r="F222" s="10" t="str">
        <f>"20229122030"</f>
        <v>20229122030</v>
      </c>
      <c r="G222" s="12">
        <v>95.5</v>
      </c>
      <c r="H222" s="12">
        <v>103.6</v>
      </c>
      <c r="I222" s="12">
        <v>99.55</v>
      </c>
      <c r="J222" s="10">
        <v>81.6</v>
      </c>
      <c r="K222" s="21">
        <f t="shared" si="15"/>
        <v>82.0075</v>
      </c>
    </row>
    <row r="223" spans="1:11" ht="18.75" customHeight="1">
      <c r="A223" s="11">
        <v>220</v>
      </c>
      <c r="B223" s="10" t="str">
        <f t="shared" si="18"/>
        <v>2022029</v>
      </c>
      <c r="C223" s="10" t="s">
        <v>19</v>
      </c>
      <c r="D223" s="10" t="s">
        <v>21</v>
      </c>
      <c r="E223" s="10" t="str">
        <f>"崔艳"</f>
        <v>崔艳</v>
      </c>
      <c r="F223" s="10" t="str">
        <f>"20229122117"</f>
        <v>20229122117</v>
      </c>
      <c r="G223" s="12">
        <v>94.1</v>
      </c>
      <c r="H223" s="12">
        <v>98.82</v>
      </c>
      <c r="I223" s="12">
        <v>96.46</v>
      </c>
      <c r="J223" s="10">
        <v>82.4</v>
      </c>
      <c r="K223" s="21">
        <f t="shared" si="15"/>
        <v>81.795</v>
      </c>
    </row>
    <row r="224" spans="1:11" ht="18.75" customHeight="1">
      <c r="A224" s="11">
        <v>221</v>
      </c>
      <c r="B224" s="10" t="str">
        <f t="shared" si="18"/>
        <v>2022029</v>
      </c>
      <c r="C224" s="10" t="s">
        <v>19</v>
      </c>
      <c r="D224" s="10" t="s">
        <v>21</v>
      </c>
      <c r="E224" s="10" t="str">
        <f>"刘晓莉"</f>
        <v>刘晓莉</v>
      </c>
      <c r="F224" s="10" t="str">
        <f>"20229122111"</f>
        <v>20229122111</v>
      </c>
      <c r="G224" s="12">
        <v>95.2</v>
      </c>
      <c r="H224" s="12">
        <v>101.8</v>
      </c>
      <c r="I224" s="12">
        <v>98.5</v>
      </c>
      <c r="J224" s="10">
        <v>81.6</v>
      </c>
      <c r="K224" s="21">
        <f t="shared" si="15"/>
        <v>81.74499999999999</v>
      </c>
    </row>
    <row r="225" spans="1:11" ht="18.75" customHeight="1">
      <c r="A225" s="11">
        <v>222</v>
      </c>
      <c r="B225" s="10" t="str">
        <f t="shared" si="18"/>
        <v>2022029</v>
      </c>
      <c r="C225" s="10" t="s">
        <v>19</v>
      </c>
      <c r="D225" s="10" t="s">
        <v>21</v>
      </c>
      <c r="E225" s="10" t="str">
        <f>"周贝贝"</f>
        <v>周贝贝</v>
      </c>
      <c r="F225" s="10" t="str">
        <f>"20229122009"</f>
        <v>20229122009</v>
      </c>
      <c r="G225" s="12">
        <v>98.1</v>
      </c>
      <c r="H225" s="12">
        <v>101.26</v>
      </c>
      <c r="I225" s="12">
        <v>99.68</v>
      </c>
      <c r="J225" s="10">
        <v>81</v>
      </c>
      <c r="K225" s="21">
        <f t="shared" si="15"/>
        <v>81.62</v>
      </c>
    </row>
    <row r="226" spans="1:11" ht="18.75" customHeight="1">
      <c r="A226" s="11">
        <v>223</v>
      </c>
      <c r="B226" s="10" t="str">
        <f t="shared" si="18"/>
        <v>2022029</v>
      </c>
      <c r="C226" s="10" t="s">
        <v>19</v>
      </c>
      <c r="D226" s="10" t="s">
        <v>21</v>
      </c>
      <c r="E226" s="10" t="str">
        <f>"吕伟豪"</f>
        <v>吕伟豪</v>
      </c>
      <c r="F226" s="10" t="str">
        <f>"20229122103"</f>
        <v>20229122103</v>
      </c>
      <c r="G226" s="12">
        <v>89.7</v>
      </c>
      <c r="H226" s="12">
        <v>102.46</v>
      </c>
      <c r="I226" s="12">
        <v>96.08</v>
      </c>
      <c r="J226" s="10">
        <v>79</v>
      </c>
      <c r="K226" s="21">
        <f t="shared" si="15"/>
        <v>79.32</v>
      </c>
    </row>
    <row r="227" spans="1:11" ht="18.75" customHeight="1">
      <c r="A227" s="11">
        <v>224</v>
      </c>
      <c r="B227" s="10" t="str">
        <f>"2022030"</f>
        <v>2022030</v>
      </c>
      <c r="C227" s="10" t="s">
        <v>22</v>
      </c>
      <c r="D227" s="10" t="s">
        <v>21</v>
      </c>
      <c r="E227" s="10" t="str">
        <f>"王风雨"</f>
        <v>王风雨</v>
      </c>
      <c r="F227" s="10" t="str">
        <f>"20229123710"</f>
        <v>20229123710</v>
      </c>
      <c r="G227" s="12">
        <v>107.3</v>
      </c>
      <c r="H227" s="12">
        <v>105.44</v>
      </c>
      <c r="I227" s="12">
        <v>106.37</v>
      </c>
      <c r="J227" s="10">
        <v>82.6</v>
      </c>
      <c r="K227" s="21">
        <f t="shared" si="15"/>
        <v>84.4125</v>
      </c>
    </row>
    <row r="228" spans="1:11" ht="18.75" customHeight="1">
      <c r="A228" s="11">
        <v>225</v>
      </c>
      <c r="B228" s="10" t="str">
        <f>"2022030"</f>
        <v>2022030</v>
      </c>
      <c r="C228" s="10" t="s">
        <v>22</v>
      </c>
      <c r="D228" s="10" t="s">
        <v>21</v>
      </c>
      <c r="E228" s="10" t="str">
        <f>"李少婕"</f>
        <v>李少婕</v>
      </c>
      <c r="F228" s="10" t="str">
        <f>"20229123707"</f>
        <v>20229123707</v>
      </c>
      <c r="G228" s="12">
        <v>107.5</v>
      </c>
      <c r="H228" s="12">
        <v>102.4</v>
      </c>
      <c r="I228" s="12">
        <v>104.95</v>
      </c>
      <c r="J228" s="10">
        <v>82.4</v>
      </c>
      <c r="K228" s="21">
        <f t="shared" si="15"/>
        <v>83.9175</v>
      </c>
    </row>
    <row r="229" spans="1:11" ht="18.75" customHeight="1">
      <c r="A229" s="11">
        <v>226</v>
      </c>
      <c r="B229" s="10" t="str">
        <f>"2022030"</f>
        <v>2022030</v>
      </c>
      <c r="C229" s="10" t="s">
        <v>22</v>
      </c>
      <c r="D229" s="10" t="s">
        <v>21</v>
      </c>
      <c r="E229" s="10" t="str">
        <f>"纪冰倩"</f>
        <v>纪冰倩</v>
      </c>
      <c r="F229" s="10" t="str">
        <f>"20229123520"</f>
        <v>20229123520</v>
      </c>
      <c r="G229" s="12">
        <v>108.4</v>
      </c>
      <c r="H229" s="12">
        <v>100.78</v>
      </c>
      <c r="I229" s="12">
        <v>104.59</v>
      </c>
      <c r="J229" s="10">
        <v>80.8</v>
      </c>
      <c r="K229" s="21">
        <f t="shared" si="15"/>
        <v>82.7075</v>
      </c>
    </row>
    <row r="230" spans="1:11" ht="18.75" customHeight="1">
      <c r="A230" s="11">
        <v>227</v>
      </c>
      <c r="B230" s="10" t="str">
        <f>"2022030"</f>
        <v>2022030</v>
      </c>
      <c r="C230" s="10" t="s">
        <v>22</v>
      </c>
      <c r="D230" s="10" t="s">
        <v>21</v>
      </c>
      <c r="E230" s="10" t="str">
        <f>"邱皓月"</f>
        <v>邱皓月</v>
      </c>
      <c r="F230" s="10" t="str">
        <f>"20229123519"</f>
        <v>20229123519</v>
      </c>
      <c r="G230" s="12">
        <v>104.8</v>
      </c>
      <c r="H230" s="12">
        <v>100.68</v>
      </c>
      <c r="I230" s="12">
        <v>102.74</v>
      </c>
      <c r="J230" s="10">
        <v>0</v>
      </c>
      <c r="K230" s="21">
        <f t="shared" si="15"/>
        <v>25.685</v>
      </c>
    </row>
    <row r="231" spans="1:11" ht="18.75" customHeight="1">
      <c r="A231" s="11">
        <v>228</v>
      </c>
      <c r="B231" s="10" t="str">
        <f>"2022031"</f>
        <v>2022031</v>
      </c>
      <c r="C231" s="10" t="s">
        <v>23</v>
      </c>
      <c r="D231" s="10" t="s">
        <v>21</v>
      </c>
      <c r="E231" s="10" t="str">
        <f>"王巍"</f>
        <v>王巍</v>
      </c>
      <c r="F231" s="10" t="str">
        <f>"20229123422"</f>
        <v>20229123422</v>
      </c>
      <c r="G231" s="12">
        <v>94.4</v>
      </c>
      <c r="H231" s="12">
        <v>66.2</v>
      </c>
      <c r="I231" s="12">
        <v>80.3</v>
      </c>
      <c r="J231" s="19">
        <v>85.24</v>
      </c>
      <c r="K231" s="21">
        <f t="shared" si="15"/>
        <v>79.743</v>
      </c>
    </row>
    <row r="232" spans="1:11" ht="18.75" customHeight="1">
      <c r="A232" s="11">
        <v>229</v>
      </c>
      <c r="B232" s="10" t="str">
        <f>"2022031"</f>
        <v>2022031</v>
      </c>
      <c r="C232" s="10" t="s">
        <v>23</v>
      </c>
      <c r="D232" s="10" t="s">
        <v>21</v>
      </c>
      <c r="E232" s="10" t="str">
        <f>"王敏"</f>
        <v>王敏</v>
      </c>
      <c r="F232" s="10" t="str">
        <f>"20229123416"</f>
        <v>20229123416</v>
      </c>
      <c r="G232" s="12">
        <v>89.2</v>
      </c>
      <c r="H232" s="12">
        <v>69.8</v>
      </c>
      <c r="I232" s="12">
        <v>79.5</v>
      </c>
      <c r="J232" s="19">
        <v>79.52</v>
      </c>
      <c r="K232" s="21">
        <f t="shared" si="15"/>
        <v>75.53899999999999</v>
      </c>
    </row>
    <row r="233" spans="1:11" ht="18.75" customHeight="1">
      <c r="A233" s="11">
        <v>230</v>
      </c>
      <c r="B233" s="10" t="str">
        <f>"2022031"</f>
        <v>2022031</v>
      </c>
      <c r="C233" s="10" t="s">
        <v>23</v>
      </c>
      <c r="D233" s="10" t="s">
        <v>21</v>
      </c>
      <c r="E233" s="10" t="str">
        <f>"翟玲玲"</f>
        <v>翟玲玲</v>
      </c>
      <c r="F233" s="10" t="str">
        <f>"20229123411"</f>
        <v>20229123411</v>
      </c>
      <c r="G233" s="12">
        <v>88.7</v>
      </c>
      <c r="H233" s="12">
        <v>62</v>
      </c>
      <c r="I233" s="12">
        <v>75.35</v>
      </c>
      <c r="J233" s="19">
        <v>79.98</v>
      </c>
      <c r="K233" s="21">
        <f t="shared" si="15"/>
        <v>74.8235</v>
      </c>
    </row>
    <row r="234" spans="1:11" ht="18.75" customHeight="1">
      <c r="A234" s="11">
        <v>231</v>
      </c>
      <c r="B234" s="10" t="str">
        <f>"2022031"</f>
        <v>2022031</v>
      </c>
      <c r="C234" s="10" t="s">
        <v>23</v>
      </c>
      <c r="D234" s="10" t="s">
        <v>21</v>
      </c>
      <c r="E234" s="10" t="str">
        <f>"朱晓凤"</f>
        <v>朱晓凤</v>
      </c>
      <c r="F234" s="10" t="str">
        <f>"20229123418"</f>
        <v>20229123418</v>
      </c>
      <c r="G234" s="12">
        <v>94.1</v>
      </c>
      <c r="H234" s="12">
        <v>64.2</v>
      </c>
      <c r="I234" s="12">
        <v>79.15</v>
      </c>
      <c r="J234" s="19">
        <v>0</v>
      </c>
      <c r="K234" s="21">
        <f t="shared" si="15"/>
        <v>19.7875</v>
      </c>
    </row>
  </sheetData>
  <sheetProtection/>
  <mergeCells count="1">
    <mergeCell ref="A1:K1"/>
  </mergeCells>
  <printOptions horizontalCentered="1"/>
  <pageMargins left="0.3576388888888889" right="0.3576388888888889" top="0.60625" bottom="0.6062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2022-09-18T01:54:02Z</dcterms:created>
  <dcterms:modified xsi:type="dcterms:W3CDTF">2022-09-25T09:27:29Z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2052-11.1.0.9914</vt:lpwstr>
  </property>
  <property fmtid="{D5CDD505-2E9C-101B-9397-08002B2CF9AE}" pid="4" name="KSOReadingLayo">
    <vt:bool>true</vt:bool>
  </property>
</Properties>
</file>