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考察名单" sheetId="7" r:id="rId1"/>
  </sheets>
  <definedNames>
    <definedName name="_xlnm._FilterDatabase" localSheetId="0" hidden="1">考察名单!$A$1:$O$120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<sst xmlns="http://schemas.openxmlformats.org/spreadsheetml/2006/main" count="142" uniqueCount="50">
  <si>
    <t>附件1：                  2024年度萧县中小学新任教师公开招聘考察名单</t>
  </si>
  <si>
    <t>序号</t>
  </si>
  <si>
    <t>职位代码</t>
  </si>
  <si>
    <t>准考证号</t>
  </si>
  <si>
    <t>考场号</t>
  </si>
  <si>
    <t>座位号</t>
  </si>
  <si>
    <t>职位名称</t>
  </si>
  <si>
    <t>教育综合知识成绩</t>
  </si>
  <si>
    <t>教育综合知识成绩赋分</t>
  </si>
  <si>
    <t>专业知识成绩</t>
  </si>
  <si>
    <t>专业知识成绩赋分</t>
  </si>
  <si>
    <t>政策性加分</t>
  </si>
  <si>
    <t>笔试总成绩</t>
  </si>
  <si>
    <t>面试成绩</t>
  </si>
  <si>
    <t>综合合成成绩</t>
  </si>
  <si>
    <t>备注</t>
  </si>
  <si>
    <t>小学语文</t>
  </si>
  <si>
    <t>小学数学</t>
  </si>
  <si>
    <t>小学音乐</t>
  </si>
  <si>
    <t>小学体育</t>
  </si>
  <si>
    <t>小学美术</t>
  </si>
  <si>
    <t>初中语文1</t>
  </si>
  <si>
    <t>初中语文2</t>
  </si>
  <si>
    <t>初中数学1</t>
  </si>
  <si>
    <t>初中数学2</t>
  </si>
  <si>
    <t>初中英语1</t>
  </si>
  <si>
    <t>初中英语2</t>
  </si>
  <si>
    <t>初中心理健康教育</t>
  </si>
  <si>
    <t>初中物理</t>
  </si>
  <si>
    <t>初中化学</t>
  </si>
  <si>
    <t>初中生物</t>
  </si>
  <si>
    <t>高中语文</t>
  </si>
  <si>
    <t>高中数学</t>
  </si>
  <si>
    <t>20240317</t>
  </si>
  <si>
    <t>2420210912</t>
  </si>
  <si>
    <t>109</t>
  </si>
  <si>
    <t>12</t>
  </si>
  <si>
    <t>高中英语</t>
  </si>
  <si>
    <t>高中物理</t>
  </si>
  <si>
    <t>高中化学</t>
  </si>
  <si>
    <t>20240320</t>
  </si>
  <si>
    <t>2420311824</t>
  </si>
  <si>
    <t>118</t>
  </si>
  <si>
    <t>24</t>
  </si>
  <si>
    <t>高中生物</t>
  </si>
  <si>
    <t>高中政治</t>
  </si>
  <si>
    <t>高中地理</t>
  </si>
  <si>
    <t>高中音乐</t>
  </si>
  <si>
    <t>高中体育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</si>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</sst>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7" fontId="3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0"/>
  <sheetViews>
    <sheetView tabSelected="1" workbookViewId="0">
      <selection activeCell="Q9" sqref="Q9"/>
    </sheetView>
  </sheetViews>
  <sheetFormatPr defaultColWidth="9" defaultRowHeight="13.5"/>
  <cols>
    <col min="1" max="1" width="8.55833333333333" customWidth="1"/>
    <col min="2" max="2" width="9.38333333333333" customWidth="1"/>
    <col min="3" max="3" width="11.5" customWidth="1"/>
    <col min="4" max="4" width="11.5583333333333" customWidth="1"/>
    <col min="5" max="5" width="8.66666666666667" customWidth="1"/>
    <col min="6" max="6" width="11.1833333333333" customWidth="1"/>
    <col min="7" max="7" width="9.55833333333333" customWidth="1"/>
    <col min="8" max="8" width="12.4416666666667" customWidth="1"/>
    <col min="9" max="9" width="7.09166666666667" customWidth="1"/>
    <col min="10" max="10" width="9.225" customWidth="1"/>
    <col min="11" max="11" width="10" customWidth="1"/>
    <col min="12" max="13" width="7.23333333333333" customWidth="1"/>
    <col min="14" max="14" width="6.96666666666667" customWidth="1"/>
    <col min="15" max="15" width="12.6333333333333" customWidth="1"/>
  </cols>
  <sheetData>
    <row r="1" ht="22.5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" customFormat="1" ht="40" customHeight="1" spans="1:15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7" t="s">
        <v>8</v>
      </c>
      <c r="I2" s="6" t="s">
        <v>9</v>
      </c>
      <c r="J2" s="7" t="s">
        <v>10</v>
      </c>
      <c r="K2" s="6" t="s">
        <v>11</v>
      </c>
      <c r="L2" s="8" t="s">
        <v>12</v>
      </c>
      <c r="M2" s="8" t="s">
        <v>13</v>
      </c>
      <c r="N2" s="8" t="s">
        <v>14</v>
      </c>
      <c r="O2" s="3" t="s">
        <v>15</v>
      </c>
    </row>
    <row r="3" s="1" customFormat="1" ht="14.25" customHeight="1" spans="1:16">
      <c r="A3" s="3">
        <v>1</v>
      </c>
      <c r="B3" s="4" t="str">
        <f t="shared" ref="B3:B13" si="0">"20240301"</f>
        <v>20240301</v>
      </c>
      <c r="C3" s="5" t="str">
        <f>"2410100530"</f>
        <v>2410100530</v>
      </c>
      <c r="D3" s="5" t="str">
        <f>"005"</f>
        <v>005</v>
      </c>
      <c r="E3" s="5" t="str">
        <f>"30"</f>
        <v>30</v>
      </c>
      <c r="F3" s="6" t="s">
        <v>16</v>
      </c>
      <c r="G3" s="6">
        <v>88.5</v>
      </c>
      <c r="H3" s="7">
        <v>73.75</v>
      </c>
      <c r="I3" s="6">
        <v>85.6</v>
      </c>
      <c r="J3" s="7">
        <v>71.3333333333333</v>
      </c>
      <c r="K3" s="6"/>
      <c r="L3" s="8">
        <v>72.5416666666667</v>
      </c>
      <c r="M3" s="8">
        <v>92.9</v>
      </c>
      <c r="N3" s="9">
        <v>80.69</v>
      </c>
      <c r="O3" s="3"/>
      <c r="P3" s="10"/>
    </row>
    <row r="4" s="1" customFormat="1" ht="14.25" customHeight="1" spans="1:16">
      <c r="A4" s="3">
        <v>2</v>
      </c>
      <c r="B4" s="4" t="str">
        <f t="shared" si="0"/>
        <v>20240301</v>
      </c>
      <c r="C4" s="5" t="str">
        <f>"2410103611"</f>
        <v>2410103611</v>
      </c>
      <c r="D4" s="5" t="str">
        <f>"036"</f>
        <v>036</v>
      </c>
      <c r="E4" s="5" t="str">
        <f>"11"</f>
        <v>11</v>
      </c>
      <c r="F4" s="6" t="s">
        <v>16</v>
      </c>
      <c r="G4" s="6">
        <v>85</v>
      </c>
      <c r="H4" s="7">
        <v>70.8333333333333</v>
      </c>
      <c r="I4" s="6">
        <v>84</v>
      </c>
      <c r="J4" s="7">
        <v>70</v>
      </c>
      <c r="K4" s="6"/>
      <c r="L4" s="8">
        <v>70.4166666666667</v>
      </c>
      <c r="M4" s="8">
        <v>92.48</v>
      </c>
      <c r="N4" s="9">
        <v>79.24</v>
      </c>
      <c r="O4" s="3"/>
      <c r="P4" s="10"/>
    </row>
    <row r="5" s="1" customFormat="1" ht="14.25" customHeight="1" spans="1:16">
      <c r="A5" s="3">
        <v>3</v>
      </c>
      <c r="B5" s="4" t="str">
        <f t="shared" si="0"/>
        <v>20240301</v>
      </c>
      <c r="C5" s="5" t="str">
        <f>"2410101805"</f>
        <v>2410101805</v>
      </c>
      <c r="D5" s="5" t="str">
        <f>"018"</f>
        <v>018</v>
      </c>
      <c r="E5" s="5" t="str">
        <f>"05"</f>
        <v>05</v>
      </c>
      <c r="F5" s="6" t="s">
        <v>16</v>
      </c>
      <c r="G5" s="6">
        <v>85.5</v>
      </c>
      <c r="H5" s="7">
        <v>71.25</v>
      </c>
      <c r="I5" s="6">
        <v>83.9</v>
      </c>
      <c r="J5" s="7">
        <v>69.9166666666667</v>
      </c>
      <c r="K5" s="6"/>
      <c r="L5" s="8">
        <v>70.5833333333333</v>
      </c>
      <c r="M5" s="8">
        <v>90.33</v>
      </c>
      <c r="N5" s="9">
        <v>78.48</v>
      </c>
      <c r="O5" s="3"/>
      <c r="P5" s="10"/>
    </row>
    <row r="6" s="1" customFormat="1" ht="14.25" customHeight="1" spans="1:16">
      <c r="A6" s="3">
        <v>4</v>
      </c>
      <c r="B6" s="4" t="str">
        <f t="shared" si="0"/>
        <v>20240301</v>
      </c>
      <c r="C6" s="5" t="str">
        <f>"2410103623"</f>
        <v>2410103623</v>
      </c>
      <c r="D6" s="5" t="str">
        <f>"036"</f>
        <v>036</v>
      </c>
      <c r="E6" s="5" t="str">
        <f>"23"</f>
        <v>23</v>
      </c>
      <c r="F6" s="6" t="s">
        <v>16</v>
      </c>
      <c r="G6" s="6">
        <v>84</v>
      </c>
      <c r="H6" s="7">
        <v>70</v>
      </c>
      <c r="I6" s="6">
        <v>83.4</v>
      </c>
      <c r="J6" s="7">
        <v>69.5</v>
      </c>
      <c r="K6" s="6"/>
      <c r="L6" s="8">
        <v>69.75</v>
      </c>
      <c r="M6" s="8">
        <v>91.26</v>
      </c>
      <c r="N6" s="9">
        <v>78.35</v>
      </c>
      <c r="O6" s="3"/>
      <c r="P6" s="10"/>
    </row>
    <row r="7" s="1" customFormat="1" ht="14.25" customHeight="1" spans="1:16">
      <c r="A7" s="3">
        <v>5</v>
      </c>
      <c r="B7" s="4" t="str">
        <f t="shared" si="0"/>
        <v>20240301</v>
      </c>
      <c r="C7" s="5" t="str">
        <f>"2410103103"</f>
        <v>2410103103</v>
      </c>
      <c r="D7" s="5" t="str">
        <f>"031"</f>
        <v>031</v>
      </c>
      <c r="E7" s="5" t="str">
        <f>"03"</f>
        <v>03</v>
      </c>
      <c r="F7" s="6" t="s">
        <v>16</v>
      </c>
      <c r="G7" s="6">
        <v>85</v>
      </c>
      <c r="H7" s="7">
        <v>70.8333333333333</v>
      </c>
      <c r="I7" s="6">
        <v>80.9</v>
      </c>
      <c r="J7" s="7">
        <v>67.4166666666667</v>
      </c>
      <c r="K7" s="6"/>
      <c r="L7" s="8">
        <v>69.125</v>
      </c>
      <c r="M7" s="11">
        <v>91.11</v>
      </c>
      <c r="N7" s="9">
        <v>77.92</v>
      </c>
      <c r="O7" s="3"/>
      <c r="P7" s="10"/>
    </row>
    <row r="8" s="1" customFormat="1" ht="14.25" customHeight="1" spans="1:16">
      <c r="A8" s="3">
        <v>6</v>
      </c>
      <c r="B8" s="4" t="str">
        <f t="shared" si="0"/>
        <v>20240301</v>
      </c>
      <c r="C8" s="5" t="str">
        <f>"2410100820"</f>
        <v>2410100820</v>
      </c>
      <c r="D8" s="5" t="str">
        <f>"008"</f>
        <v>008</v>
      </c>
      <c r="E8" s="5" t="str">
        <f>"20"</f>
        <v>20</v>
      </c>
      <c r="F8" s="6" t="s">
        <v>16</v>
      </c>
      <c r="G8" s="6">
        <v>88.5</v>
      </c>
      <c r="H8" s="7">
        <v>73.75</v>
      </c>
      <c r="I8" s="6">
        <v>80.7</v>
      </c>
      <c r="J8" s="7">
        <v>67.25</v>
      </c>
      <c r="K8" s="6"/>
      <c r="L8" s="8">
        <v>70.5</v>
      </c>
      <c r="M8" s="8">
        <v>88.95</v>
      </c>
      <c r="N8" s="9">
        <v>77.88</v>
      </c>
      <c r="O8" s="3"/>
      <c r="P8" s="10"/>
    </row>
    <row r="9" s="1" customFormat="1" ht="14.25" customHeight="1" spans="1:16">
      <c r="A9" s="3">
        <v>7</v>
      </c>
      <c r="B9" s="4" t="str">
        <f t="shared" si="0"/>
        <v>20240301</v>
      </c>
      <c r="C9" s="5" t="str">
        <f>"2410102816"</f>
        <v>2410102816</v>
      </c>
      <c r="D9" s="5" t="str">
        <f>"028"</f>
        <v>028</v>
      </c>
      <c r="E9" s="5" t="str">
        <f>"16"</f>
        <v>16</v>
      </c>
      <c r="F9" s="6" t="s">
        <v>16</v>
      </c>
      <c r="G9" s="6">
        <v>79</v>
      </c>
      <c r="H9" s="7">
        <v>65.8333333333333</v>
      </c>
      <c r="I9" s="6">
        <v>85.4</v>
      </c>
      <c r="J9" s="7">
        <v>71.1666666666667</v>
      </c>
      <c r="K9" s="6"/>
      <c r="L9" s="8">
        <v>68.5</v>
      </c>
      <c r="M9" s="8">
        <v>91.03</v>
      </c>
      <c r="N9" s="9">
        <v>77.51</v>
      </c>
      <c r="O9" s="3"/>
      <c r="P9" s="10"/>
    </row>
    <row r="10" s="1" customFormat="1" ht="14.25" customHeight="1" spans="1:16">
      <c r="A10" s="3">
        <v>8</v>
      </c>
      <c r="B10" s="4" t="str">
        <f t="shared" si="0"/>
        <v>20240301</v>
      </c>
      <c r="C10" s="5" t="str">
        <f>"2410104004"</f>
        <v>2410104004</v>
      </c>
      <c r="D10" s="5" t="str">
        <f>"040"</f>
        <v>040</v>
      </c>
      <c r="E10" s="5" t="str">
        <f>"04"</f>
        <v>04</v>
      </c>
      <c r="F10" s="6" t="s">
        <v>16</v>
      </c>
      <c r="G10" s="6">
        <v>86</v>
      </c>
      <c r="H10" s="7">
        <v>71.6666666666667</v>
      </c>
      <c r="I10" s="6">
        <v>77.1</v>
      </c>
      <c r="J10" s="7">
        <v>64.25</v>
      </c>
      <c r="K10" s="6"/>
      <c r="L10" s="8">
        <v>67.9583333333333</v>
      </c>
      <c r="M10" s="8">
        <v>90.43</v>
      </c>
      <c r="N10" s="9">
        <v>76.95</v>
      </c>
      <c r="O10" s="3"/>
      <c r="P10" s="10"/>
    </row>
    <row r="11" s="1" customFormat="1" ht="14.25" customHeight="1" spans="1:16">
      <c r="A11" s="3">
        <v>9</v>
      </c>
      <c r="B11" s="4" t="str">
        <f t="shared" si="0"/>
        <v>20240301</v>
      </c>
      <c r="C11" s="5" t="str">
        <f>"2410103705"</f>
        <v>2410103705</v>
      </c>
      <c r="D11" s="5" t="str">
        <f>"037"</f>
        <v>037</v>
      </c>
      <c r="E11" s="5" t="str">
        <f>"05"</f>
        <v>05</v>
      </c>
      <c r="F11" s="6" t="s">
        <v>16</v>
      </c>
      <c r="G11" s="6">
        <v>77</v>
      </c>
      <c r="H11" s="7">
        <v>64.1666666666667</v>
      </c>
      <c r="I11" s="6">
        <v>84.9</v>
      </c>
      <c r="J11" s="7">
        <v>70.75</v>
      </c>
      <c r="K11" s="6"/>
      <c r="L11" s="8">
        <v>67.4583333333333</v>
      </c>
      <c r="M11" s="8">
        <v>91.13</v>
      </c>
      <c r="N11" s="9">
        <v>76.93</v>
      </c>
      <c r="O11" s="3"/>
      <c r="P11" s="10"/>
    </row>
    <row r="12" s="1" customFormat="1" ht="14.25" customHeight="1" spans="1:16">
      <c r="A12" s="3">
        <v>10</v>
      </c>
      <c r="B12" s="4" t="str">
        <f t="shared" si="0"/>
        <v>20240301</v>
      </c>
      <c r="C12" s="5" t="str">
        <f>"2410101417"</f>
        <v>2410101417</v>
      </c>
      <c r="D12" s="5" t="str">
        <f>"014"</f>
        <v>014</v>
      </c>
      <c r="E12" s="5" t="str">
        <f>"17"</f>
        <v>17</v>
      </c>
      <c r="F12" s="6" t="s">
        <v>16</v>
      </c>
      <c r="G12" s="6">
        <v>84</v>
      </c>
      <c r="H12" s="7">
        <v>70</v>
      </c>
      <c r="I12" s="6">
        <v>81.6</v>
      </c>
      <c r="J12" s="7">
        <v>68</v>
      </c>
      <c r="K12" s="6"/>
      <c r="L12" s="8">
        <v>69</v>
      </c>
      <c r="M12" s="8">
        <v>88.8</v>
      </c>
      <c r="N12" s="9">
        <v>76.92</v>
      </c>
      <c r="O12" s="3"/>
      <c r="P12" s="10"/>
    </row>
    <row r="13" s="1" customFormat="1" ht="14.25" customHeight="1" spans="1:16">
      <c r="A13" s="3">
        <v>11</v>
      </c>
      <c r="B13" s="4" t="str">
        <f t="shared" si="0"/>
        <v>20240301</v>
      </c>
      <c r="C13" s="5" t="str">
        <f>"2410100315"</f>
        <v>2410100315</v>
      </c>
      <c r="D13" s="5" t="str">
        <f>"003"</f>
        <v>003</v>
      </c>
      <c r="E13" s="5" t="str">
        <f>"15"</f>
        <v>15</v>
      </c>
      <c r="F13" s="6" t="s">
        <v>16</v>
      </c>
      <c r="G13" s="6">
        <v>80.5</v>
      </c>
      <c r="H13" s="7">
        <v>67.0833333333333</v>
      </c>
      <c r="I13" s="6">
        <v>82.7</v>
      </c>
      <c r="J13" s="7">
        <v>68.9166666666667</v>
      </c>
      <c r="K13" s="6"/>
      <c r="L13" s="8">
        <v>68</v>
      </c>
      <c r="M13" s="8">
        <v>90.13</v>
      </c>
      <c r="N13" s="9">
        <v>76.85</v>
      </c>
      <c r="O13" s="3"/>
      <c r="P13" s="10"/>
    </row>
    <row r="14" s="1" customFormat="1" ht="14.25" customHeight="1" spans="1:16">
      <c r="A14" s="3">
        <v>12</v>
      </c>
      <c r="B14" s="4" t="str">
        <f t="shared" ref="B14:B23" si="1">"20240302"</f>
        <v>20240302</v>
      </c>
      <c r="C14" s="5" t="str">
        <f>"2410106917"</f>
        <v>2410106917</v>
      </c>
      <c r="D14" s="5" t="str">
        <f>"069"</f>
        <v>069</v>
      </c>
      <c r="E14" s="5" t="str">
        <f>"17"</f>
        <v>17</v>
      </c>
      <c r="F14" s="6" t="s">
        <v>17</v>
      </c>
      <c r="G14" s="6">
        <v>84</v>
      </c>
      <c r="H14" s="7">
        <v>70</v>
      </c>
      <c r="I14" s="6">
        <v>98.1</v>
      </c>
      <c r="J14" s="7">
        <v>81.75</v>
      </c>
      <c r="K14" s="6"/>
      <c r="L14" s="8">
        <v>75.875</v>
      </c>
      <c r="M14" s="8">
        <v>86.44</v>
      </c>
      <c r="N14" s="12">
        <v>80.1</v>
      </c>
      <c r="O14" s="5"/>
      <c r="P14" s="10"/>
    </row>
    <row r="15" s="1" customFormat="1" ht="14.25" customHeight="1" spans="1:16">
      <c r="A15" s="3">
        <v>13</v>
      </c>
      <c r="B15" s="4" t="str">
        <f t="shared" si="1"/>
        <v>20240302</v>
      </c>
      <c r="C15" s="5" t="str">
        <f>"2410106418"</f>
        <v>2410106418</v>
      </c>
      <c r="D15" s="5" t="str">
        <f>"064"</f>
        <v>064</v>
      </c>
      <c r="E15" s="5" t="str">
        <f>"18"</f>
        <v>18</v>
      </c>
      <c r="F15" s="6" t="s">
        <v>17</v>
      </c>
      <c r="G15" s="6">
        <v>85</v>
      </c>
      <c r="H15" s="7">
        <v>70.8333333333333</v>
      </c>
      <c r="I15" s="6">
        <v>92.5</v>
      </c>
      <c r="J15" s="7">
        <v>77.0833333333333</v>
      </c>
      <c r="K15" s="6"/>
      <c r="L15" s="8">
        <v>73.9583333333333</v>
      </c>
      <c r="M15" s="8">
        <v>88.44</v>
      </c>
      <c r="N15" s="12">
        <v>79.75</v>
      </c>
      <c r="O15" s="5"/>
      <c r="P15" s="10"/>
    </row>
    <row r="16" s="1" customFormat="1" ht="14.25" customHeight="1" spans="1:16">
      <c r="A16" s="3">
        <v>14</v>
      </c>
      <c r="B16" s="4" t="str">
        <f t="shared" si="1"/>
        <v>20240302</v>
      </c>
      <c r="C16" s="5" t="str">
        <f>"2410106303"</f>
        <v>2410106303</v>
      </c>
      <c r="D16" s="5" t="str">
        <f>"063"</f>
        <v>063</v>
      </c>
      <c r="E16" s="5" t="str">
        <f>"03"</f>
        <v>03</v>
      </c>
      <c r="F16" s="6" t="s">
        <v>17</v>
      </c>
      <c r="G16" s="6">
        <v>92</v>
      </c>
      <c r="H16" s="7">
        <v>76.6666666666667</v>
      </c>
      <c r="I16" s="6">
        <v>82.4</v>
      </c>
      <c r="J16" s="7">
        <v>68.6666666666667</v>
      </c>
      <c r="K16" s="6"/>
      <c r="L16" s="8">
        <v>72.6666666666667</v>
      </c>
      <c r="M16" s="8">
        <v>87.92</v>
      </c>
      <c r="N16" s="12">
        <v>78.77</v>
      </c>
      <c r="O16" s="5"/>
      <c r="P16" s="10"/>
    </row>
    <row r="17" s="1" customFormat="1" ht="14.25" customHeight="1" spans="1:16">
      <c r="A17" s="3">
        <v>15</v>
      </c>
      <c r="B17" s="4" t="str">
        <f t="shared" si="1"/>
        <v>20240302</v>
      </c>
      <c r="C17" s="5" t="str">
        <f>"2410105502"</f>
        <v>2410105502</v>
      </c>
      <c r="D17" s="5" t="str">
        <f>"055"</f>
        <v>055</v>
      </c>
      <c r="E17" s="5" t="str">
        <f>"02"</f>
        <v>02</v>
      </c>
      <c r="F17" s="6" t="s">
        <v>17</v>
      </c>
      <c r="G17" s="6">
        <v>83</v>
      </c>
      <c r="H17" s="7">
        <v>69.1666666666667</v>
      </c>
      <c r="I17" s="6">
        <v>88.1</v>
      </c>
      <c r="J17" s="7">
        <v>73.4166666666667</v>
      </c>
      <c r="K17" s="6"/>
      <c r="L17" s="8">
        <v>71.2916666666667</v>
      </c>
      <c r="M17" s="8">
        <v>87.54</v>
      </c>
      <c r="N17" s="12">
        <v>77.79</v>
      </c>
      <c r="O17" s="5"/>
      <c r="P17" s="10"/>
    </row>
    <row r="18" s="1" customFormat="1" ht="14.25" customHeight="1" spans="1:16">
      <c r="A18" s="3">
        <v>16</v>
      </c>
      <c r="B18" s="4" t="str">
        <f t="shared" si="1"/>
        <v>20240302</v>
      </c>
      <c r="C18" s="5" t="str">
        <f>"2410106426"</f>
        <v>2410106426</v>
      </c>
      <c r="D18" s="5" t="str">
        <f>"064"</f>
        <v>064</v>
      </c>
      <c r="E18" s="5" t="str">
        <f>"26"</f>
        <v>26</v>
      </c>
      <c r="F18" s="6" t="s">
        <v>17</v>
      </c>
      <c r="G18" s="6">
        <v>83</v>
      </c>
      <c r="H18" s="7">
        <v>69.1666666666667</v>
      </c>
      <c r="I18" s="6">
        <v>87.8</v>
      </c>
      <c r="J18" s="7">
        <v>73.1666666666667</v>
      </c>
      <c r="K18" s="6"/>
      <c r="L18" s="8">
        <v>71.1666666666667</v>
      </c>
      <c r="M18" s="8">
        <v>87.68</v>
      </c>
      <c r="N18" s="12">
        <v>77.77</v>
      </c>
      <c r="O18" s="5"/>
      <c r="P18" s="10"/>
    </row>
    <row r="19" s="1" customFormat="1" ht="14.25" customHeight="1" spans="1:16">
      <c r="A19" s="3">
        <v>17</v>
      </c>
      <c r="B19" s="4" t="str">
        <f t="shared" si="1"/>
        <v>20240302</v>
      </c>
      <c r="C19" s="5" t="str">
        <f>"2410106116"</f>
        <v>2410106116</v>
      </c>
      <c r="D19" s="5" t="str">
        <f>"061"</f>
        <v>061</v>
      </c>
      <c r="E19" s="5" t="str">
        <f>"16"</f>
        <v>16</v>
      </c>
      <c r="F19" s="6" t="s">
        <v>17</v>
      </c>
      <c r="G19" s="6">
        <v>85</v>
      </c>
      <c r="H19" s="7">
        <v>70.8333333333333</v>
      </c>
      <c r="I19" s="6">
        <v>85.7</v>
      </c>
      <c r="J19" s="7">
        <v>71.4166666666667</v>
      </c>
      <c r="K19" s="6"/>
      <c r="L19" s="8">
        <v>71.125</v>
      </c>
      <c r="M19" s="8">
        <v>87.48</v>
      </c>
      <c r="N19" s="12">
        <v>77.67</v>
      </c>
      <c r="O19" s="5"/>
      <c r="P19" s="10"/>
    </row>
    <row r="20" s="1" customFormat="1" ht="14.25" customHeight="1" spans="1:16">
      <c r="A20" s="3">
        <v>18</v>
      </c>
      <c r="B20" s="4" t="str">
        <f t="shared" si="1"/>
        <v>20240302</v>
      </c>
      <c r="C20" s="5" t="str">
        <f>"2410107124"</f>
        <v>2410107124</v>
      </c>
      <c r="D20" s="5" t="str">
        <f>"071"</f>
        <v>071</v>
      </c>
      <c r="E20" s="5" t="str">
        <f>"24"</f>
        <v>24</v>
      </c>
      <c r="F20" s="6" t="s">
        <v>17</v>
      </c>
      <c r="G20" s="6">
        <v>88.5</v>
      </c>
      <c r="H20" s="7">
        <v>73.75</v>
      </c>
      <c r="I20" s="6">
        <v>83.9</v>
      </c>
      <c r="J20" s="7">
        <v>69.9166666666667</v>
      </c>
      <c r="K20" s="6"/>
      <c r="L20" s="8">
        <v>71.8333333333333</v>
      </c>
      <c r="M20" s="8">
        <v>85.7</v>
      </c>
      <c r="N20" s="12">
        <v>77.38</v>
      </c>
      <c r="O20" s="5"/>
      <c r="P20" s="10"/>
    </row>
    <row r="21" s="1" customFormat="1" ht="14.25" customHeight="1" spans="1:16">
      <c r="A21" s="3">
        <v>19</v>
      </c>
      <c r="B21" s="4" t="str">
        <f t="shared" si="1"/>
        <v>20240302</v>
      </c>
      <c r="C21" s="5" t="str">
        <f>"2410105712"</f>
        <v>2410105712</v>
      </c>
      <c r="D21" s="5" t="str">
        <f>"057"</f>
        <v>057</v>
      </c>
      <c r="E21" s="5" t="str">
        <f>"12"</f>
        <v>12</v>
      </c>
      <c r="F21" s="6" t="s">
        <v>17</v>
      </c>
      <c r="G21" s="6">
        <v>85.5</v>
      </c>
      <c r="H21" s="7">
        <v>71.25</v>
      </c>
      <c r="I21" s="6">
        <v>83.7</v>
      </c>
      <c r="J21" s="7">
        <v>69.75</v>
      </c>
      <c r="K21" s="6"/>
      <c r="L21" s="8">
        <v>70.5</v>
      </c>
      <c r="M21" s="8">
        <v>87.14</v>
      </c>
      <c r="N21" s="12">
        <v>77.16</v>
      </c>
      <c r="O21" s="5"/>
      <c r="P21" s="10"/>
    </row>
    <row r="22" s="1" customFormat="1" ht="14.25" customHeight="1" spans="1:16">
      <c r="A22" s="3">
        <v>20</v>
      </c>
      <c r="B22" s="4" t="str">
        <f t="shared" si="1"/>
        <v>20240302</v>
      </c>
      <c r="C22" s="5" t="str">
        <f>"2410105607"</f>
        <v>2410105607</v>
      </c>
      <c r="D22" s="5" t="str">
        <f>"056"</f>
        <v>056</v>
      </c>
      <c r="E22" s="5" t="str">
        <f>"07"</f>
        <v>07</v>
      </c>
      <c r="F22" s="6" t="s">
        <v>17</v>
      </c>
      <c r="G22" s="6">
        <v>79</v>
      </c>
      <c r="H22" s="7">
        <v>65.8333333333333</v>
      </c>
      <c r="I22" s="6">
        <v>89.2</v>
      </c>
      <c r="J22" s="7">
        <v>74.3333333333333</v>
      </c>
      <c r="K22" s="6"/>
      <c r="L22" s="8">
        <v>70.0833333333333</v>
      </c>
      <c r="M22" s="8">
        <v>87.74</v>
      </c>
      <c r="N22" s="12">
        <v>77.15</v>
      </c>
      <c r="O22" s="5"/>
      <c r="P22" s="10"/>
    </row>
    <row r="23" s="1" customFormat="1" ht="14.25" customHeight="1" spans="1:16">
      <c r="A23" s="3">
        <v>21</v>
      </c>
      <c r="B23" s="4" t="str">
        <f t="shared" si="1"/>
        <v>20240302</v>
      </c>
      <c r="C23" s="5" t="str">
        <f>"2410107011"</f>
        <v>2410107011</v>
      </c>
      <c r="D23" s="5" t="str">
        <f>"070"</f>
        <v>070</v>
      </c>
      <c r="E23" s="5" t="str">
        <f>"11"</f>
        <v>11</v>
      </c>
      <c r="F23" s="6" t="s">
        <v>17</v>
      </c>
      <c r="G23" s="6">
        <v>85</v>
      </c>
      <c r="H23" s="7">
        <v>70.8333333333333</v>
      </c>
      <c r="I23" s="6">
        <v>84.5</v>
      </c>
      <c r="J23" s="7">
        <v>70.4166666666667</v>
      </c>
      <c r="K23" s="6"/>
      <c r="L23" s="8">
        <v>70.625</v>
      </c>
      <c r="M23" s="8">
        <v>86.78</v>
      </c>
      <c r="N23" s="12">
        <v>77.09</v>
      </c>
      <c r="O23" s="5"/>
      <c r="P23" s="10"/>
    </row>
    <row r="24" s="1" customFormat="1" ht="14.25" customHeight="1" spans="1:16">
      <c r="A24" s="3">
        <v>22</v>
      </c>
      <c r="B24" s="4" t="str">
        <f t="shared" ref="B24:B26" si="2">"20240303"</f>
        <v>20240303</v>
      </c>
      <c r="C24" s="5" t="str">
        <f>"2410208909"</f>
        <v>2410208909</v>
      </c>
      <c r="D24" s="5" t="str">
        <f>"089"</f>
        <v>089</v>
      </c>
      <c r="E24" s="5" t="str">
        <f>"09"</f>
        <v>09</v>
      </c>
      <c r="F24" s="6" t="s">
        <v>18</v>
      </c>
      <c r="G24" s="6">
        <v>75</v>
      </c>
      <c r="H24" s="7">
        <v>62.5</v>
      </c>
      <c r="I24" s="6">
        <v>93.2</v>
      </c>
      <c r="J24" s="7">
        <v>77.6666666666667</v>
      </c>
      <c r="K24" s="6"/>
      <c r="L24" s="8">
        <v>70.0833333333333</v>
      </c>
      <c r="M24" s="8">
        <v>89.4</v>
      </c>
      <c r="N24" s="12">
        <v>77.81</v>
      </c>
      <c r="O24" s="5"/>
      <c r="P24" s="10"/>
    </row>
    <row r="25" s="1" customFormat="1" ht="14.25" customHeight="1" spans="1:16">
      <c r="A25" s="3">
        <v>23</v>
      </c>
      <c r="B25" s="4" t="str">
        <f t="shared" si="2"/>
        <v>20240303</v>
      </c>
      <c r="C25" s="5" t="str">
        <f>"2410108502"</f>
        <v>2410108502</v>
      </c>
      <c r="D25" s="5" t="str">
        <f>"085"</f>
        <v>085</v>
      </c>
      <c r="E25" s="5" t="str">
        <f>"02"</f>
        <v>02</v>
      </c>
      <c r="F25" s="6" t="s">
        <v>18</v>
      </c>
      <c r="G25" s="6">
        <v>75.5</v>
      </c>
      <c r="H25" s="7">
        <v>62.9166666666667</v>
      </c>
      <c r="I25" s="6">
        <v>88.2</v>
      </c>
      <c r="J25" s="7">
        <v>73.5</v>
      </c>
      <c r="K25" s="6"/>
      <c r="L25" s="8">
        <v>68.2083333333333</v>
      </c>
      <c r="M25" s="8">
        <v>91.3</v>
      </c>
      <c r="N25" s="12">
        <v>77.45</v>
      </c>
      <c r="O25" s="5"/>
      <c r="P25" s="10"/>
    </row>
    <row r="26" s="1" customFormat="1" ht="14.25" customHeight="1" spans="1:16">
      <c r="A26" s="3">
        <v>24</v>
      </c>
      <c r="B26" s="4" t="str">
        <f t="shared" si="2"/>
        <v>20240303</v>
      </c>
      <c r="C26" s="5" t="str">
        <f>"2410208930"</f>
        <v>2410208930</v>
      </c>
      <c r="D26" s="5" t="str">
        <f>"089"</f>
        <v>089</v>
      </c>
      <c r="E26" s="5" t="str">
        <f>"30"</f>
        <v>30</v>
      </c>
      <c r="F26" s="6" t="s">
        <v>18</v>
      </c>
      <c r="G26" s="6">
        <v>73</v>
      </c>
      <c r="H26" s="7">
        <v>60.8333333333333</v>
      </c>
      <c r="I26" s="6">
        <v>92.65</v>
      </c>
      <c r="J26" s="7">
        <v>77.2083333333333</v>
      </c>
      <c r="K26" s="6"/>
      <c r="L26" s="8">
        <v>69.0208333333333</v>
      </c>
      <c r="M26" s="8">
        <v>89.86</v>
      </c>
      <c r="N26" s="12">
        <v>77.36</v>
      </c>
      <c r="O26" s="5"/>
      <c r="P26" s="10"/>
    </row>
    <row r="27" s="1" customFormat="1" ht="14.25" customHeight="1" spans="1:16">
      <c r="A27" s="3">
        <v>25</v>
      </c>
      <c r="B27" s="4" t="str">
        <f>"20240304"</f>
        <v>20240304</v>
      </c>
      <c r="C27" s="5" t="str">
        <f>"2410209301"</f>
        <v>2410209301</v>
      </c>
      <c r="D27" s="5" t="str">
        <f>"093"</f>
        <v>093</v>
      </c>
      <c r="E27" s="5" t="str">
        <f>"01"</f>
        <v>01</v>
      </c>
      <c r="F27" s="6" t="s">
        <v>19</v>
      </c>
      <c r="G27" s="6">
        <v>76.5</v>
      </c>
      <c r="H27" s="7">
        <v>63.75</v>
      </c>
      <c r="I27" s="6">
        <v>81.1</v>
      </c>
      <c r="J27" s="7">
        <v>67.5833333333333</v>
      </c>
      <c r="K27" s="6"/>
      <c r="L27" s="8">
        <v>65.6666666666667</v>
      </c>
      <c r="M27" s="8">
        <v>92</v>
      </c>
      <c r="N27" s="12">
        <v>76.2</v>
      </c>
      <c r="O27" s="5"/>
      <c r="P27" s="10"/>
    </row>
    <row r="28" s="1" customFormat="1" ht="14.25" customHeight="1" spans="1:16">
      <c r="A28" s="3">
        <v>26</v>
      </c>
      <c r="B28" s="4" t="str">
        <f>"20240304"</f>
        <v>20240304</v>
      </c>
      <c r="C28" s="5" t="str">
        <f>"2410209511"</f>
        <v>2410209511</v>
      </c>
      <c r="D28" s="5" t="str">
        <f>"095"</f>
        <v>095</v>
      </c>
      <c r="E28" s="5" t="str">
        <f>"11"</f>
        <v>11</v>
      </c>
      <c r="F28" s="6" t="s">
        <v>19</v>
      </c>
      <c r="G28" s="6">
        <v>77</v>
      </c>
      <c r="H28" s="7">
        <v>64.1666666666667</v>
      </c>
      <c r="I28" s="6">
        <v>80.6</v>
      </c>
      <c r="J28" s="7">
        <v>67.1666666666667</v>
      </c>
      <c r="K28" s="6"/>
      <c r="L28" s="8">
        <v>65.6666666666667</v>
      </c>
      <c r="M28" s="8">
        <v>91.8</v>
      </c>
      <c r="N28" s="12">
        <v>76.12</v>
      </c>
      <c r="O28" s="5"/>
      <c r="P28" s="10"/>
    </row>
    <row r="29" s="1" customFormat="1" ht="14.25" customHeight="1" spans="1:16">
      <c r="A29" s="3">
        <v>27</v>
      </c>
      <c r="B29" s="4" t="str">
        <f t="shared" ref="B29:B32" si="3">"20240305"</f>
        <v>20240305</v>
      </c>
      <c r="C29" s="5" t="str">
        <f>"2410210205"</f>
        <v>2410210205</v>
      </c>
      <c r="D29" s="5" t="str">
        <f>"102"</f>
        <v>102</v>
      </c>
      <c r="E29" s="5" t="str">
        <f>"05"</f>
        <v>05</v>
      </c>
      <c r="F29" s="6" t="s">
        <v>20</v>
      </c>
      <c r="G29" s="6">
        <v>89.5</v>
      </c>
      <c r="H29" s="7">
        <v>74.5833333333333</v>
      </c>
      <c r="I29" s="6">
        <v>105.5</v>
      </c>
      <c r="J29" s="7">
        <v>87.9166666666667</v>
      </c>
      <c r="K29" s="6"/>
      <c r="L29" s="8">
        <v>81.25</v>
      </c>
      <c r="M29" s="8">
        <v>91.84</v>
      </c>
      <c r="N29" s="12">
        <v>85.49</v>
      </c>
      <c r="O29" s="5"/>
      <c r="P29" s="10"/>
    </row>
    <row r="30" s="1" customFormat="1" ht="14.25" customHeight="1" spans="1:16">
      <c r="A30" s="3">
        <v>28</v>
      </c>
      <c r="B30" s="4" t="str">
        <f t="shared" si="3"/>
        <v>20240305</v>
      </c>
      <c r="C30" s="5" t="str">
        <f>"2410209805"</f>
        <v>2410209805</v>
      </c>
      <c r="D30" s="5" t="str">
        <f>"098"</f>
        <v>098</v>
      </c>
      <c r="E30" s="5" t="str">
        <f>"05"</f>
        <v>05</v>
      </c>
      <c r="F30" s="6" t="s">
        <v>20</v>
      </c>
      <c r="G30" s="6">
        <v>83.5</v>
      </c>
      <c r="H30" s="7">
        <v>69.5833333333333</v>
      </c>
      <c r="I30" s="6">
        <v>111</v>
      </c>
      <c r="J30" s="7">
        <v>92.5</v>
      </c>
      <c r="K30" s="6"/>
      <c r="L30" s="8">
        <v>81.0416666666667</v>
      </c>
      <c r="M30" s="8">
        <v>89.48</v>
      </c>
      <c r="N30" s="12">
        <v>84.42</v>
      </c>
      <c r="O30" s="5"/>
      <c r="P30" s="10"/>
    </row>
    <row r="31" s="1" customFormat="1" ht="14.25" customHeight="1" spans="1:16">
      <c r="A31" s="3">
        <v>29</v>
      </c>
      <c r="B31" s="4" t="str">
        <f t="shared" si="3"/>
        <v>20240305</v>
      </c>
      <c r="C31" s="5" t="str">
        <f>"2410210017"</f>
        <v>2410210017</v>
      </c>
      <c r="D31" s="5" t="str">
        <f>"100"</f>
        <v>100</v>
      </c>
      <c r="E31" s="5" t="str">
        <f>"17"</f>
        <v>17</v>
      </c>
      <c r="F31" s="6" t="s">
        <v>20</v>
      </c>
      <c r="G31" s="6">
        <v>91</v>
      </c>
      <c r="H31" s="7">
        <v>75.8333333333333</v>
      </c>
      <c r="I31" s="6">
        <v>103</v>
      </c>
      <c r="J31" s="7">
        <v>85.8333333333333</v>
      </c>
      <c r="K31" s="6"/>
      <c r="L31" s="8">
        <v>80.8333333333333</v>
      </c>
      <c r="M31" s="8">
        <v>88.2</v>
      </c>
      <c r="N31" s="12">
        <v>83.78</v>
      </c>
      <c r="O31" s="5"/>
      <c r="P31" s="10"/>
    </row>
    <row r="32" s="1" customFormat="1" ht="14.25" customHeight="1" spans="1:16">
      <c r="A32" s="3">
        <v>30</v>
      </c>
      <c r="B32" s="4" t="str">
        <f t="shared" si="3"/>
        <v>20240305</v>
      </c>
      <c r="C32" s="5" t="str">
        <f>"2410210419"</f>
        <v>2410210419</v>
      </c>
      <c r="D32" s="5" t="str">
        <f>"104"</f>
        <v>104</v>
      </c>
      <c r="E32" s="5" t="str">
        <f>"19"</f>
        <v>19</v>
      </c>
      <c r="F32" s="6" t="s">
        <v>20</v>
      </c>
      <c r="G32" s="6">
        <v>85</v>
      </c>
      <c r="H32" s="7">
        <v>70.8333333333333</v>
      </c>
      <c r="I32" s="6">
        <v>105</v>
      </c>
      <c r="J32" s="7">
        <v>87.5</v>
      </c>
      <c r="K32" s="6"/>
      <c r="L32" s="8">
        <v>79.1666666666667</v>
      </c>
      <c r="M32" s="8">
        <v>89.8</v>
      </c>
      <c r="N32" s="12">
        <v>83.42</v>
      </c>
      <c r="O32" s="5"/>
      <c r="P32" s="10"/>
    </row>
    <row r="33" s="1" customFormat="1" ht="14.25" customHeight="1" spans="1:16">
      <c r="A33" s="3">
        <v>31</v>
      </c>
      <c r="B33" s="4" t="str">
        <f t="shared" ref="B33:B41" si="4">"20240306"</f>
        <v>20240306</v>
      </c>
      <c r="C33" s="5" t="str">
        <f>"2420101412"</f>
        <v>2420101412</v>
      </c>
      <c r="D33" s="5" t="str">
        <f>"014"</f>
        <v>014</v>
      </c>
      <c r="E33" s="5" t="str">
        <f>"12"</f>
        <v>12</v>
      </c>
      <c r="F33" s="6" t="s">
        <v>21</v>
      </c>
      <c r="G33" s="6">
        <v>87.5</v>
      </c>
      <c r="H33" s="7">
        <v>72.9166666666667</v>
      </c>
      <c r="I33" s="6">
        <v>101.5</v>
      </c>
      <c r="J33" s="7">
        <v>84.5833333333333</v>
      </c>
      <c r="K33" s="6"/>
      <c r="L33" s="8">
        <v>78.75</v>
      </c>
      <c r="M33" s="8">
        <v>84.6</v>
      </c>
      <c r="N33" s="12">
        <v>81.09</v>
      </c>
      <c r="O33" s="5"/>
      <c r="P33" s="10"/>
    </row>
    <row r="34" s="1" customFormat="1" ht="14.25" customHeight="1" spans="1:16">
      <c r="A34" s="3">
        <v>32</v>
      </c>
      <c r="B34" s="4" t="str">
        <f t="shared" si="4"/>
        <v>20240306</v>
      </c>
      <c r="C34" s="5" t="str">
        <f>"2420100215"</f>
        <v>2420100215</v>
      </c>
      <c r="D34" s="5" t="str">
        <f>"002"</f>
        <v>002</v>
      </c>
      <c r="E34" s="5" t="str">
        <f>"15"</f>
        <v>15</v>
      </c>
      <c r="F34" s="6" t="s">
        <v>21</v>
      </c>
      <c r="G34" s="6">
        <v>98</v>
      </c>
      <c r="H34" s="7">
        <v>81.6666666666667</v>
      </c>
      <c r="I34" s="6">
        <v>77.5</v>
      </c>
      <c r="J34" s="7">
        <v>64.5833333333333</v>
      </c>
      <c r="K34" s="6"/>
      <c r="L34" s="8">
        <v>73.125</v>
      </c>
      <c r="M34" s="8">
        <v>87.24</v>
      </c>
      <c r="N34" s="12">
        <v>78.77</v>
      </c>
      <c r="O34" s="5"/>
      <c r="P34" s="10"/>
    </row>
    <row r="35" s="1" customFormat="1" ht="14.25" customHeight="1" spans="1:16">
      <c r="A35" s="3">
        <v>33</v>
      </c>
      <c r="B35" s="4" t="str">
        <f t="shared" si="4"/>
        <v>20240306</v>
      </c>
      <c r="C35" s="5" t="str">
        <f>"2420100111"</f>
        <v>2420100111</v>
      </c>
      <c r="D35" s="5" t="str">
        <f>"001"</f>
        <v>001</v>
      </c>
      <c r="E35" s="5" t="str">
        <f>"11"</f>
        <v>11</v>
      </c>
      <c r="F35" s="6" t="s">
        <v>21</v>
      </c>
      <c r="G35" s="6">
        <v>89.5</v>
      </c>
      <c r="H35" s="7">
        <v>74.5833333333333</v>
      </c>
      <c r="I35" s="6">
        <v>88</v>
      </c>
      <c r="J35" s="7">
        <v>73.3333333333333</v>
      </c>
      <c r="K35" s="6"/>
      <c r="L35" s="8">
        <v>73.9583333333333</v>
      </c>
      <c r="M35" s="8">
        <v>83.1</v>
      </c>
      <c r="N35" s="12">
        <v>77.62</v>
      </c>
      <c r="O35" s="5"/>
      <c r="P35" s="10"/>
    </row>
    <row r="36" s="1" customFormat="1" ht="14.25" customHeight="1" spans="1:16">
      <c r="A36" s="3">
        <v>34</v>
      </c>
      <c r="B36" s="4" t="str">
        <f t="shared" si="4"/>
        <v>20240306</v>
      </c>
      <c r="C36" s="5" t="str">
        <f>"2420101405"</f>
        <v>2420101405</v>
      </c>
      <c r="D36" s="5" t="str">
        <f>"014"</f>
        <v>014</v>
      </c>
      <c r="E36" s="5" t="str">
        <f>"05"</f>
        <v>05</v>
      </c>
      <c r="F36" s="6" t="s">
        <v>21</v>
      </c>
      <c r="G36" s="6">
        <v>93.5</v>
      </c>
      <c r="H36" s="7">
        <v>77.9166666666667</v>
      </c>
      <c r="I36" s="6">
        <v>79.5</v>
      </c>
      <c r="J36" s="7">
        <v>66.25</v>
      </c>
      <c r="K36" s="6"/>
      <c r="L36" s="8">
        <v>72.0833333333333</v>
      </c>
      <c r="M36" s="8">
        <v>85.2</v>
      </c>
      <c r="N36" s="12">
        <v>77.33</v>
      </c>
      <c r="O36" s="5"/>
      <c r="P36" s="10"/>
    </row>
    <row r="37" s="1" customFormat="1" ht="14.25" customHeight="1" spans="1:16">
      <c r="A37" s="3">
        <v>35</v>
      </c>
      <c r="B37" s="4" t="str">
        <f t="shared" si="4"/>
        <v>20240306</v>
      </c>
      <c r="C37" s="5" t="str">
        <f>"2420101511"</f>
        <v>2420101511</v>
      </c>
      <c r="D37" s="5" t="str">
        <f>"015"</f>
        <v>015</v>
      </c>
      <c r="E37" s="5" t="str">
        <f>"11"</f>
        <v>11</v>
      </c>
      <c r="F37" s="6" t="s">
        <v>21</v>
      </c>
      <c r="G37" s="6">
        <v>89.5</v>
      </c>
      <c r="H37" s="7">
        <v>74.5833333333333</v>
      </c>
      <c r="I37" s="6">
        <v>88</v>
      </c>
      <c r="J37" s="7">
        <v>73.3333333333333</v>
      </c>
      <c r="K37" s="6"/>
      <c r="L37" s="8">
        <v>73.9583333333333</v>
      </c>
      <c r="M37" s="8">
        <v>81.58</v>
      </c>
      <c r="N37" s="12">
        <v>77.01</v>
      </c>
      <c r="O37" s="5"/>
      <c r="P37" s="10"/>
    </row>
    <row r="38" s="1" customFormat="1" ht="14.25" customHeight="1" spans="1:16">
      <c r="A38" s="3">
        <v>36</v>
      </c>
      <c r="B38" s="4" t="str">
        <f t="shared" si="4"/>
        <v>20240306</v>
      </c>
      <c r="C38" s="5" t="str">
        <f>"2420100730"</f>
        <v>2420100730</v>
      </c>
      <c r="D38" s="5" t="str">
        <f>"007"</f>
        <v>007</v>
      </c>
      <c r="E38" s="5" t="str">
        <f>"30"</f>
        <v>30</v>
      </c>
      <c r="F38" s="6" t="s">
        <v>21</v>
      </c>
      <c r="G38" s="6">
        <v>85</v>
      </c>
      <c r="H38" s="7">
        <v>70.8333333333333</v>
      </c>
      <c r="I38" s="6">
        <v>91</v>
      </c>
      <c r="J38" s="7">
        <v>75.8333333333333</v>
      </c>
      <c r="K38" s="6"/>
      <c r="L38" s="8">
        <v>73.3333333333333</v>
      </c>
      <c r="M38" s="8">
        <v>82.24</v>
      </c>
      <c r="N38" s="12">
        <v>76.9</v>
      </c>
      <c r="O38" s="5"/>
      <c r="P38" s="10"/>
    </row>
    <row r="39" s="1" customFormat="1" ht="14.25" customHeight="1" spans="1:16">
      <c r="A39" s="3">
        <v>37</v>
      </c>
      <c r="B39" s="4" t="str">
        <f t="shared" si="4"/>
        <v>20240306</v>
      </c>
      <c r="C39" s="5" t="str">
        <f>"2420100813"</f>
        <v>2420100813</v>
      </c>
      <c r="D39" s="5" t="str">
        <f>"008"</f>
        <v>008</v>
      </c>
      <c r="E39" s="5" t="str">
        <f>"13"</f>
        <v>13</v>
      </c>
      <c r="F39" s="6" t="s">
        <v>21</v>
      </c>
      <c r="G39" s="6">
        <v>96</v>
      </c>
      <c r="H39" s="7">
        <v>80</v>
      </c>
      <c r="I39" s="6">
        <v>76</v>
      </c>
      <c r="J39" s="7">
        <v>63.3333333333333</v>
      </c>
      <c r="K39" s="6"/>
      <c r="L39" s="8">
        <v>71.6666666666667</v>
      </c>
      <c r="M39" s="8">
        <v>84.24</v>
      </c>
      <c r="N39" s="12">
        <v>76.7</v>
      </c>
      <c r="O39" s="5"/>
      <c r="P39" s="10"/>
    </row>
    <row r="40" s="1" customFormat="1" ht="14.25" customHeight="1" spans="1:16">
      <c r="A40" s="3">
        <v>38</v>
      </c>
      <c r="B40" s="4" t="str">
        <f t="shared" si="4"/>
        <v>20240306</v>
      </c>
      <c r="C40" s="5" t="str">
        <f>"2420101105"</f>
        <v>2420101105</v>
      </c>
      <c r="D40" s="5" t="str">
        <f>"011"</f>
        <v>011</v>
      </c>
      <c r="E40" s="5" t="str">
        <f>"05"</f>
        <v>05</v>
      </c>
      <c r="F40" s="6" t="s">
        <v>21</v>
      </c>
      <c r="G40" s="6">
        <v>91.5</v>
      </c>
      <c r="H40" s="7">
        <v>76.25</v>
      </c>
      <c r="I40" s="6">
        <v>84.5</v>
      </c>
      <c r="J40" s="7">
        <v>70.4166666666667</v>
      </c>
      <c r="K40" s="6"/>
      <c r="L40" s="8">
        <v>73.3333333333333</v>
      </c>
      <c r="M40" s="8">
        <v>81.7</v>
      </c>
      <c r="N40" s="12">
        <v>76.68</v>
      </c>
      <c r="O40" s="5"/>
      <c r="P40" s="10"/>
    </row>
    <row r="41" s="1" customFormat="1" ht="14.25" customHeight="1" spans="1:16">
      <c r="A41" s="3">
        <v>39</v>
      </c>
      <c r="B41" s="4" t="str">
        <f t="shared" si="4"/>
        <v>20240306</v>
      </c>
      <c r="C41" s="5" t="str">
        <f>"2420101006"</f>
        <v>2420101006</v>
      </c>
      <c r="D41" s="5" t="str">
        <f>"010"</f>
        <v>010</v>
      </c>
      <c r="E41" s="5" t="str">
        <f>"06"</f>
        <v>06</v>
      </c>
      <c r="F41" s="6" t="s">
        <v>21</v>
      </c>
      <c r="G41" s="6">
        <v>85</v>
      </c>
      <c r="H41" s="7">
        <v>70.8333333333333</v>
      </c>
      <c r="I41" s="6">
        <v>86</v>
      </c>
      <c r="J41" s="7">
        <v>71.6666666666667</v>
      </c>
      <c r="K41" s="6"/>
      <c r="L41" s="8">
        <v>71.25</v>
      </c>
      <c r="M41" s="8">
        <v>83.32</v>
      </c>
      <c r="N41" s="12">
        <v>76.08</v>
      </c>
      <c r="O41" s="5"/>
      <c r="P41" s="10"/>
    </row>
    <row r="42" s="1" customFormat="1" ht="14.25" customHeight="1" spans="1:16">
      <c r="A42" s="3">
        <v>40</v>
      </c>
      <c r="B42" s="4" t="str">
        <f t="shared" ref="B42:B50" si="5">"20240307"</f>
        <v>20240307</v>
      </c>
      <c r="C42" s="5" t="str">
        <f>"2420101519"</f>
        <v>2420101519</v>
      </c>
      <c r="D42" s="5" t="str">
        <f>"015"</f>
        <v>015</v>
      </c>
      <c r="E42" s="5" t="str">
        <f>"19"</f>
        <v>19</v>
      </c>
      <c r="F42" s="6" t="s">
        <v>22</v>
      </c>
      <c r="G42" s="6">
        <v>93</v>
      </c>
      <c r="H42" s="7">
        <v>77.5</v>
      </c>
      <c r="I42" s="6">
        <v>94.5</v>
      </c>
      <c r="J42" s="7">
        <v>78.75</v>
      </c>
      <c r="K42" s="6"/>
      <c r="L42" s="8">
        <v>78.125</v>
      </c>
      <c r="M42" s="8">
        <v>86.22</v>
      </c>
      <c r="N42" s="12">
        <v>81.36</v>
      </c>
      <c r="O42" s="5"/>
      <c r="P42" s="10"/>
    </row>
    <row r="43" s="1" customFormat="1" ht="14.25" customHeight="1" spans="1:16">
      <c r="A43" s="3">
        <v>41</v>
      </c>
      <c r="B43" s="4" t="str">
        <f t="shared" si="5"/>
        <v>20240307</v>
      </c>
      <c r="C43" s="5" t="str">
        <f>"2420101922"</f>
        <v>2420101922</v>
      </c>
      <c r="D43" s="5" t="str">
        <f>"019"</f>
        <v>019</v>
      </c>
      <c r="E43" s="5" t="str">
        <f>"22"</f>
        <v>22</v>
      </c>
      <c r="F43" s="6" t="s">
        <v>22</v>
      </c>
      <c r="G43" s="6">
        <v>93.5</v>
      </c>
      <c r="H43" s="7">
        <v>77.9166666666667</v>
      </c>
      <c r="I43" s="6">
        <v>88</v>
      </c>
      <c r="J43" s="7">
        <v>73.3333333333333</v>
      </c>
      <c r="K43" s="6"/>
      <c r="L43" s="8">
        <v>75.625</v>
      </c>
      <c r="M43" s="8">
        <v>89.16</v>
      </c>
      <c r="N43" s="12">
        <v>81.04</v>
      </c>
      <c r="O43" s="5"/>
      <c r="P43" s="10"/>
    </row>
    <row r="44" s="1" customFormat="1" ht="14.25" customHeight="1" spans="1:16">
      <c r="A44" s="3">
        <v>42</v>
      </c>
      <c r="B44" s="4" t="str">
        <f t="shared" si="5"/>
        <v>20240307</v>
      </c>
      <c r="C44" s="5" t="str">
        <f>"2420102125"</f>
        <v>2420102125</v>
      </c>
      <c r="D44" s="5" t="str">
        <f>"021"</f>
        <v>021</v>
      </c>
      <c r="E44" s="5" t="str">
        <f>"25"</f>
        <v>25</v>
      </c>
      <c r="F44" s="6" t="s">
        <v>22</v>
      </c>
      <c r="G44" s="6">
        <v>93</v>
      </c>
      <c r="H44" s="7">
        <v>77.5</v>
      </c>
      <c r="I44" s="6">
        <v>84</v>
      </c>
      <c r="J44" s="7">
        <v>70</v>
      </c>
      <c r="K44" s="6"/>
      <c r="L44" s="8">
        <v>73.75</v>
      </c>
      <c r="M44" s="8">
        <v>86.98</v>
      </c>
      <c r="N44" s="12">
        <v>79.04</v>
      </c>
      <c r="O44" s="5"/>
      <c r="P44" s="10"/>
    </row>
    <row r="45" s="1" customFormat="1" ht="14.25" customHeight="1" spans="1:16">
      <c r="A45" s="3">
        <v>43</v>
      </c>
      <c r="B45" s="4" t="str">
        <f t="shared" si="5"/>
        <v>20240307</v>
      </c>
      <c r="C45" s="5" t="str">
        <f>"2420102029"</f>
        <v>2420102029</v>
      </c>
      <c r="D45" s="5" t="str">
        <f>"020"</f>
        <v>020</v>
      </c>
      <c r="E45" s="5" t="str">
        <f>"29"</f>
        <v>29</v>
      </c>
      <c r="F45" s="6" t="s">
        <v>22</v>
      </c>
      <c r="G45" s="6">
        <v>97.5</v>
      </c>
      <c r="H45" s="7">
        <v>81.25</v>
      </c>
      <c r="I45" s="6">
        <v>77</v>
      </c>
      <c r="J45" s="7">
        <v>64.1666666666667</v>
      </c>
      <c r="K45" s="6"/>
      <c r="L45" s="8">
        <v>72.7083333333333</v>
      </c>
      <c r="M45" s="8">
        <v>86.8</v>
      </c>
      <c r="N45" s="12">
        <v>78.35</v>
      </c>
      <c r="O45" s="5"/>
      <c r="P45" s="10"/>
    </row>
    <row r="46" s="1" customFormat="1" ht="14.25" customHeight="1" spans="1:16">
      <c r="A46" s="3">
        <v>44</v>
      </c>
      <c r="B46" s="4" t="str">
        <f t="shared" si="5"/>
        <v>20240307</v>
      </c>
      <c r="C46" s="5" t="str">
        <f>"2420101725"</f>
        <v>2420101725</v>
      </c>
      <c r="D46" s="5" t="str">
        <f>"017"</f>
        <v>017</v>
      </c>
      <c r="E46" s="5" t="str">
        <f>"25"</f>
        <v>25</v>
      </c>
      <c r="F46" s="6" t="s">
        <v>22</v>
      </c>
      <c r="G46" s="6">
        <v>91.5</v>
      </c>
      <c r="H46" s="7">
        <v>76.25</v>
      </c>
      <c r="I46" s="6">
        <v>83.5</v>
      </c>
      <c r="J46" s="7">
        <v>69.5833333333333</v>
      </c>
      <c r="K46" s="6"/>
      <c r="L46" s="8">
        <v>72.9166666666667</v>
      </c>
      <c r="M46" s="8">
        <v>86.4</v>
      </c>
      <c r="N46" s="12">
        <v>78.31</v>
      </c>
      <c r="O46" s="5"/>
      <c r="P46" s="10"/>
    </row>
    <row r="47" s="1" customFormat="1" ht="14.25" customHeight="1" spans="1:16">
      <c r="A47" s="3">
        <v>45</v>
      </c>
      <c r="B47" s="4" t="str">
        <f t="shared" si="5"/>
        <v>20240307</v>
      </c>
      <c r="C47" s="5" t="str">
        <f>"2420102021"</f>
        <v>2420102021</v>
      </c>
      <c r="D47" s="5" t="str">
        <f>"020"</f>
        <v>020</v>
      </c>
      <c r="E47" s="5" t="str">
        <f>"21"</f>
        <v>21</v>
      </c>
      <c r="F47" s="6" t="s">
        <v>22</v>
      </c>
      <c r="G47" s="6">
        <v>87.5</v>
      </c>
      <c r="H47" s="7">
        <v>72.9166666666667</v>
      </c>
      <c r="I47" s="6">
        <v>89</v>
      </c>
      <c r="J47" s="7">
        <v>74.1666666666667</v>
      </c>
      <c r="K47" s="6"/>
      <c r="L47" s="8">
        <v>73.5416666666667</v>
      </c>
      <c r="M47" s="8">
        <v>85.32</v>
      </c>
      <c r="N47" s="12">
        <v>78.25</v>
      </c>
      <c r="O47" s="5"/>
      <c r="P47" s="10"/>
    </row>
    <row r="48" s="1" customFormat="1" ht="14.25" customHeight="1" spans="1:16">
      <c r="A48" s="3">
        <v>46</v>
      </c>
      <c r="B48" s="4" t="str">
        <f t="shared" si="5"/>
        <v>20240307</v>
      </c>
      <c r="C48" s="5" t="str">
        <f>"2420101802"</f>
        <v>2420101802</v>
      </c>
      <c r="D48" s="5" t="str">
        <f>"018"</f>
        <v>018</v>
      </c>
      <c r="E48" s="5" t="str">
        <f>"02"</f>
        <v>02</v>
      </c>
      <c r="F48" s="6" t="s">
        <v>22</v>
      </c>
      <c r="G48" s="6">
        <v>86.5</v>
      </c>
      <c r="H48" s="7">
        <v>72.0833333333333</v>
      </c>
      <c r="I48" s="6">
        <v>89</v>
      </c>
      <c r="J48" s="7">
        <v>74.1666666666667</v>
      </c>
      <c r="K48" s="6"/>
      <c r="L48" s="8">
        <v>73.125</v>
      </c>
      <c r="M48" s="8">
        <v>85.32</v>
      </c>
      <c r="N48" s="12">
        <v>78</v>
      </c>
      <c r="O48" s="5"/>
      <c r="P48" s="10"/>
    </row>
    <row r="49" s="1" customFormat="1" ht="14.25" customHeight="1" spans="1:16">
      <c r="A49" s="3">
        <v>47</v>
      </c>
      <c r="B49" s="4" t="str">
        <f t="shared" si="5"/>
        <v>20240307</v>
      </c>
      <c r="C49" s="5" t="str">
        <f>"2420101629"</f>
        <v>2420101629</v>
      </c>
      <c r="D49" s="5" t="str">
        <f>"016"</f>
        <v>016</v>
      </c>
      <c r="E49" s="5" t="str">
        <f>"29"</f>
        <v>29</v>
      </c>
      <c r="F49" s="6" t="s">
        <v>22</v>
      </c>
      <c r="G49" s="6">
        <v>84</v>
      </c>
      <c r="H49" s="7">
        <v>70</v>
      </c>
      <c r="I49" s="6">
        <v>88</v>
      </c>
      <c r="J49" s="7">
        <v>73.3333333333333</v>
      </c>
      <c r="K49" s="6"/>
      <c r="L49" s="8">
        <v>71.6666666666667</v>
      </c>
      <c r="M49" s="8">
        <v>86.84</v>
      </c>
      <c r="N49" s="12">
        <v>77.74</v>
      </c>
      <c r="O49" s="5"/>
      <c r="P49" s="10"/>
    </row>
    <row r="50" s="1" customFormat="1" ht="14.25" customHeight="1" spans="1:16">
      <c r="A50" s="3">
        <v>48</v>
      </c>
      <c r="B50" s="4" t="str">
        <f t="shared" si="5"/>
        <v>20240307</v>
      </c>
      <c r="C50" s="5" t="str">
        <f>"2420102228"</f>
        <v>2420102228</v>
      </c>
      <c r="D50" s="5" t="str">
        <f>"022"</f>
        <v>022</v>
      </c>
      <c r="E50" s="5" t="str">
        <f>"28"</f>
        <v>28</v>
      </c>
      <c r="F50" s="6" t="s">
        <v>22</v>
      </c>
      <c r="G50" s="6">
        <v>84</v>
      </c>
      <c r="H50" s="7">
        <v>70</v>
      </c>
      <c r="I50" s="6">
        <v>87.5</v>
      </c>
      <c r="J50" s="7">
        <v>72.9166666666667</v>
      </c>
      <c r="K50" s="6"/>
      <c r="L50" s="8">
        <v>71.4583333333333</v>
      </c>
      <c r="M50" s="8">
        <v>85.86</v>
      </c>
      <c r="N50" s="12">
        <v>77.22</v>
      </c>
      <c r="O50" s="5"/>
      <c r="P50" s="10"/>
    </row>
    <row r="51" s="1" customFormat="1" ht="14.25" customHeight="1" spans="1:16">
      <c r="A51" s="3">
        <v>49</v>
      </c>
      <c r="B51" s="4" t="str">
        <f t="shared" ref="B51:B58" si="6">"20240308"</f>
        <v>20240308</v>
      </c>
      <c r="C51" s="5" t="str">
        <f>"2420103915"</f>
        <v>2420103915</v>
      </c>
      <c r="D51" s="5" t="str">
        <f>"039"</f>
        <v>039</v>
      </c>
      <c r="E51" s="5" t="str">
        <f>"15"</f>
        <v>15</v>
      </c>
      <c r="F51" s="6" t="s">
        <v>23</v>
      </c>
      <c r="G51" s="6">
        <v>83.5</v>
      </c>
      <c r="H51" s="7">
        <v>69.5833333333333</v>
      </c>
      <c r="I51" s="6">
        <v>104.4</v>
      </c>
      <c r="J51" s="7">
        <v>87</v>
      </c>
      <c r="K51" s="6"/>
      <c r="L51" s="8">
        <v>78.2916666666667</v>
      </c>
      <c r="M51" s="13">
        <v>84.42</v>
      </c>
      <c r="N51" s="13">
        <v>80.74</v>
      </c>
      <c r="O51" s="5"/>
      <c r="P51" s="10"/>
    </row>
    <row r="52" s="1" customFormat="1" ht="14.25" customHeight="1" spans="1:16">
      <c r="A52" s="3">
        <v>50</v>
      </c>
      <c r="B52" s="4" t="str">
        <f t="shared" si="6"/>
        <v>20240308</v>
      </c>
      <c r="C52" s="5" t="str">
        <f>"2420103909"</f>
        <v>2420103909</v>
      </c>
      <c r="D52" s="5" t="str">
        <f>"039"</f>
        <v>039</v>
      </c>
      <c r="E52" s="5" t="str">
        <f>"09"</f>
        <v>09</v>
      </c>
      <c r="F52" s="6" t="s">
        <v>23</v>
      </c>
      <c r="G52" s="6">
        <v>88</v>
      </c>
      <c r="H52" s="7">
        <v>73.3333333333333</v>
      </c>
      <c r="I52" s="6">
        <v>98.2</v>
      </c>
      <c r="J52" s="7">
        <v>81.8333333333333</v>
      </c>
      <c r="K52" s="6"/>
      <c r="L52" s="8">
        <v>77.5833333333333</v>
      </c>
      <c r="M52" s="13">
        <v>84.04</v>
      </c>
      <c r="N52" s="13">
        <v>80.17</v>
      </c>
      <c r="O52" s="5"/>
      <c r="P52" s="10"/>
    </row>
    <row r="53" s="1" customFormat="1" ht="14.25" customHeight="1" spans="1:16">
      <c r="A53" s="3">
        <v>51</v>
      </c>
      <c r="B53" s="4" t="str">
        <f t="shared" si="6"/>
        <v>20240308</v>
      </c>
      <c r="C53" s="5" t="str">
        <f>"2420103016"</f>
        <v>2420103016</v>
      </c>
      <c r="D53" s="5" t="str">
        <f>"030"</f>
        <v>030</v>
      </c>
      <c r="E53" s="5" t="str">
        <f>"16"</f>
        <v>16</v>
      </c>
      <c r="F53" s="6" t="s">
        <v>23</v>
      </c>
      <c r="G53" s="6">
        <v>93.5</v>
      </c>
      <c r="H53" s="7">
        <v>77.9166666666667</v>
      </c>
      <c r="I53" s="6">
        <v>89.9</v>
      </c>
      <c r="J53" s="7">
        <v>74.9166666666667</v>
      </c>
      <c r="K53" s="6"/>
      <c r="L53" s="8">
        <v>76.4166666666667</v>
      </c>
      <c r="M53" s="13">
        <v>84.42</v>
      </c>
      <c r="N53" s="13">
        <v>79.62</v>
      </c>
      <c r="O53" s="5"/>
      <c r="P53" s="10"/>
    </row>
    <row r="54" s="1" customFormat="1" ht="14.25" customHeight="1" spans="1:16">
      <c r="A54" s="3">
        <v>52</v>
      </c>
      <c r="B54" s="4" t="str">
        <f t="shared" si="6"/>
        <v>20240308</v>
      </c>
      <c r="C54" s="5" t="str">
        <f>"2420104225"</f>
        <v>2420104225</v>
      </c>
      <c r="D54" s="5" t="str">
        <f>"042"</f>
        <v>042</v>
      </c>
      <c r="E54" s="5" t="str">
        <f>"25"</f>
        <v>25</v>
      </c>
      <c r="F54" s="6" t="s">
        <v>23</v>
      </c>
      <c r="G54" s="6">
        <v>87</v>
      </c>
      <c r="H54" s="7">
        <v>72.5</v>
      </c>
      <c r="I54" s="6">
        <v>97</v>
      </c>
      <c r="J54" s="7">
        <v>80.8333333333333</v>
      </c>
      <c r="K54" s="6"/>
      <c r="L54" s="8">
        <v>76.6666666666667</v>
      </c>
      <c r="M54" s="13">
        <v>83.04</v>
      </c>
      <c r="N54" s="13">
        <v>79.22</v>
      </c>
      <c r="O54" s="5"/>
      <c r="P54" s="10"/>
    </row>
    <row r="55" s="1" customFormat="1" ht="14.25" customHeight="1" spans="1:16">
      <c r="A55" s="3">
        <v>53</v>
      </c>
      <c r="B55" s="4" t="str">
        <f t="shared" si="6"/>
        <v>20240308</v>
      </c>
      <c r="C55" s="5" t="str">
        <f>"2420104227"</f>
        <v>2420104227</v>
      </c>
      <c r="D55" s="5" t="str">
        <f>"042"</f>
        <v>042</v>
      </c>
      <c r="E55" s="5" t="str">
        <f>"27"</f>
        <v>27</v>
      </c>
      <c r="F55" s="6" t="s">
        <v>23</v>
      </c>
      <c r="G55" s="6">
        <v>91.5</v>
      </c>
      <c r="H55" s="7">
        <v>76.25</v>
      </c>
      <c r="I55" s="6">
        <v>88.9</v>
      </c>
      <c r="J55" s="7">
        <v>74.0833333333333</v>
      </c>
      <c r="K55" s="6"/>
      <c r="L55" s="8">
        <v>75.1666666666667</v>
      </c>
      <c r="M55" s="13">
        <v>84.14</v>
      </c>
      <c r="N55" s="13">
        <v>78.76</v>
      </c>
      <c r="O55" s="5"/>
      <c r="P55" s="10"/>
    </row>
    <row r="56" s="1" customFormat="1" ht="14.25" customHeight="1" spans="1:16">
      <c r="A56" s="3">
        <v>54</v>
      </c>
      <c r="B56" s="4" t="str">
        <f t="shared" si="6"/>
        <v>20240308</v>
      </c>
      <c r="C56" s="5" t="str">
        <f>"2420103107"</f>
        <v>2420103107</v>
      </c>
      <c r="D56" s="5" t="str">
        <f>"031"</f>
        <v>031</v>
      </c>
      <c r="E56" s="5" t="str">
        <f>"07"</f>
        <v>07</v>
      </c>
      <c r="F56" s="6" t="s">
        <v>23</v>
      </c>
      <c r="G56" s="6">
        <v>78</v>
      </c>
      <c r="H56" s="7">
        <v>65</v>
      </c>
      <c r="I56" s="6">
        <v>101.6</v>
      </c>
      <c r="J56" s="7">
        <v>84.6666666666667</v>
      </c>
      <c r="K56" s="6"/>
      <c r="L56" s="8">
        <v>74.8333333333333</v>
      </c>
      <c r="M56" s="13">
        <v>83.24</v>
      </c>
      <c r="N56" s="13">
        <v>78.2</v>
      </c>
      <c r="O56" s="5"/>
      <c r="P56" s="10"/>
    </row>
    <row r="57" s="1" customFormat="1" ht="14.25" customHeight="1" spans="1:16">
      <c r="A57" s="3">
        <v>55</v>
      </c>
      <c r="B57" s="4" t="str">
        <f t="shared" si="6"/>
        <v>20240308</v>
      </c>
      <c r="C57" s="5" t="str">
        <f>"2420103610"</f>
        <v>2420103610</v>
      </c>
      <c r="D57" s="5" t="str">
        <f>"036"</f>
        <v>036</v>
      </c>
      <c r="E57" s="5" t="str">
        <f>"10"</f>
        <v>10</v>
      </c>
      <c r="F57" s="6" t="s">
        <v>23</v>
      </c>
      <c r="G57" s="6">
        <v>92</v>
      </c>
      <c r="H57" s="7">
        <v>76.6666666666667</v>
      </c>
      <c r="I57" s="6">
        <v>92.9</v>
      </c>
      <c r="J57" s="7">
        <v>77.4166666666667</v>
      </c>
      <c r="K57" s="6"/>
      <c r="L57" s="8">
        <v>77.0416666666667</v>
      </c>
      <c r="M57" s="13">
        <v>79.48</v>
      </c>
      <c r="N57" s="13">
        <v>78.02</v>
      </c>
      <c r="O57" s="5"/>
      <c r="P57" s="10"/>
    </row>
    <row r="58" s="1" customFormat="1" ht="14.25" customHeight="1" spans="1:16">
      <c r="A58" s="3">
        <v>56</v>
      </c>
      <c r="B58" s="4" t="str">
        <f t="shared" si="6"/>
        <v>20240308</v>
      </c>
      <c r="C58" s="5" t="str">
        <f>"2420103002"</f>
        <v>2420103002</v>
      </c>
      <c r="D58" s="5" t="str">
        <f>"030"</f>
        <v>030</v>
      </c>
      <c r="E58" s="5" t="str">
        <f>"02"</f>
        <v>02</v>
      </c>
      <c r="F58" s="6" t="s">
        <v>23</v>
      </c>
      <c r="G58" s="6">
        <v>79.5</v>
      </c>
      <c r="H58" s="7">
        <v>66.25</v>
      </c>
      <c r="I58" s="6">
        <v>98.6</v>
      </c>
      <c r="J58" s="7">
        <v>82.1666666666667</v>
      </c>
      <c r="K58" s="6"/>
      <c r="L58" s="8">
        <v>74.2083333333333</v>
      </c>
      <c r="M58" s="13">
        <v>83.68</v>
      </c>
      <c r="N58" s="13">
        <v>78</v>
      </c>
      <c r="O58" s="5"/>
      <c r="P58" s="10"/>
    </row>
    <row r="59" s="1" customFormat="1" ht="14.25" customHeight="1" spans="1:16">
      <c r="A59" s="3">
        <v>57</v>
      </c>
      <c r="B59" s="4" t="str">
        <f t="shared" ref="B59:B68" si="7">"20240309"</f>
        <v>20240309</v>
      </c>
      <c r="C59" s="5" t="str">
        <f>"2420104702"</f>
        <v>2420104702</v>
      </c>
      <c r="D59" s="5" t="str">
        <f>"047"</f>
        <v>047</v>
      </c>
      <c r="E59" s="5" t="str">
        <f>"02"</f>
        <v>02</v>
      </c>
      <c r="F59" s="6" t="s">
        <v>24</v>
      </c>
      <c r="G59" s="6">
        <v>102.5</v>
      </c>
      <c r="H59" s="7">
        <v>85.4166666666667</v>
      </c>
      <c r="I59" s="6">
        <v>88.2</v>
      </c>
      <c r="J59" s="7">
        <v>73.5</v>
      </c>
      <c r="K59" s="6"/>
      <c r="L59" s="8">
        <v>79.4583333333333</v>
      </c>
      <c r="M59" s="8">
        <v>91.26</v>
      </c>
      <c r="N59" s="12">
        <v>84.18</v>
      </c>
      <c r="O59" s="5"/>
      <c r="P59" s="10"/>
    </row>
    <row r="60" s="1" customFormat="1" ht="14.25" customHeight="1" spans="1:16">
      <c r="A60" s="3">
        <v>58</v>
      </c>
      <c r="B60" s="4" t="str">
        <f t="shared" si="7"/>
        <v>20240309</v>
      </c>
      <c r="C60" s="5" t="str">
        <f>"2420104420"</f>
        <v>2420104420</v>
      </c>
      <c r="D60" s="5" t="str">
        <f>"044"</f>
        <v>044</v>
      </c>
      <c r="E60" s="5" t="str">
        <f>"20"</f>
        <v>20</v>
      </c>
      <c r="F60" s="6" t="s">
        <v>24</v>
      </c>
      <c r="G60" s="6">
        <v>94</v>
      </c>
      <c r="H60" s="7">
        <v>78.3333333333333</v>
      </c>
      <c r="I60" s="6">
        <v>95.7</v>
      </c>
      <c r="J60" s="7">
        <v>79.75</v>
      </c>
      <c r="K60" s="6"/>
      <c r="L60" s="8">
        <v>79.0416666666667</v>
      </c>
      <c r="M60" s="8">
        <v>91.46</v>
      </c>
      <c r="N60" s="12">
        <v>84.01</v>
      </c>
      <c r="O60" s="5"/>
      <c r="P60" s="10"/>
    </row>
    <row r="61" s="1" customFormat="1" ht="14.25" customHeight="1" spans="1:16">
      <c r="A61" s="3">
        <v>59</v>
      </c>
      <c r="B61" s="4" t="str">
        <f t="shared" si="7"/>
        <v>20240309</v>
      </c>
      <c r="C61" s="5" t="str">
        <f>"2420104330"</f>
        <v>2420104330</v>
      </c>
      <c r="D61" s="5" t="str">
        <f>"043"</f>
        <v>043</v>
      </c>
      <c r="E61" s="5" t="str">
        <f>"30"</f>
        <v>30</v>
      </c>
      <c r="F61" s="6" t="s">
        <v>24</v>
      </c>
      <c r="G61" s="6">
        <v>87.5</v>
      </c>
      <c r="H61" s="7">
        <v>72.9166666666667</v>
      </c>
      <c r="I61" s="6">
        <v>105.8</v>
      </c>
      <c r="J61" s="7">
        <v>88.1666666666667</v>
      </c>
      <c r="K61" s="6"/>
      <c r="L61" s="8">
        <v>80.5416666666667</v>
      </c>
      <c r="M61" s="8">
        <v>86.74</v>
      </c>
      <c r="N61" s="12">
        <v>83.02</v>
      </c>
      <c r="O61" s="5"/>
      <c r="P61" s="10"/>
    </row>
    <row r="62" s="1" customFormat="1" ht="14.25" customHeight="1" spans="1:16">
      <c r="A62" s="3">
        <v>60</v>
      </c>
      <c r="B62" s="4" t="str">
        <f t="shared" si="7"/>
        <v>20240309</v>
      </c>
      <c r="C62" s="5" t="str">
        <f>"2420104724"</f>
        <v>2420104724</v>
      </c>
      <c r="D62" s="5" t="str">
        <f>"047"</f>
        <v>047</v>
      </c>
      <c r="E62" s="5" t="str">
        <f>"24"</f>
        <v>24</v>
      </c>
      <c r="F62" s="6" t="s">
        <v>24</v>
      </c>
      <c r="G62" s="6">
        <v>89</v>
      </c>
      <c r="H62" s="7">
        <v>74.1666666666667</v>
      </c>
      <c r="I62" s="6">
        <v>94.2</v>
      </c>
      <c r="J62" s="7">
        <v>78.5</v>
      </c>
      <c r="K62" s="6"/>
      <c r="L62" s="8">
        <v>76.3333333333333</v>
      </c>
      <c r="M62" s="8">
        <v>90.5</v>
      </c>
      <c r="N62" s="12">
        <v>82</v>
      </c>
      <c r="O62" s="5"/>
      <c r="P62" s="10"/>
    </row>
    <row r="63" s="1" customFormat="1" ht="14.25" customHeight="1" spans="1:16">
      <c r="A63" s="3">
        <v>61</v>
      </c>
      <c r="B63" s="4" t="str">
        <f t="shared" si="7"/>
        <v>20240309</v>
      </c>
      <c r="C63" s="5" t="str">
        <f>"2420106005"</f>
        <v>2420106005</v>
      </c>
      <c r="D63" s="5" t="str">
        <f>"060"</f>
        <v>060</v>
      </c>
      <c r="E63" s="5" t="str">
        <f>"05"</f>
        <v>05</v>
      </c>
      <c r="F63" s="6" t="s">
        <v>24</v>
      </c>
      <c r="G63" s="6">
        <v>88.5</v>
      </c>
      <c r="H63" s="7">
        <v>73.75</v>
      </c>
      <c r="I63" s="6">
        <v>91.6</v>
      </c>
      <c r="J63" s="7">
        <v>76.3333333333333</v>
      </c>
      <c r="K63" s="6"/>
      <c r="L63" s="8">
        <v>75.0416666666667</v>
      </c>
      <c r="M63" s="8">
        <v>91.24</v>
      </c>
      <c r="N63" s="12">
        <v>81.52</v>
      </c>
      <c r="O63" s="5"/>
      <c r="P63" s="10"/>
    </row>
    <row r="64" s="1" customFormat="1" ht="14.25" customHeight="1" spans="1:16">
      <c r="A64" s="3">
        <v>62</v>
      </c>
      <c r="B64" s="4" t="str">
        <f t="shared" si="7"/>
        <v>20240309</v>
      </c>
      <c r="C64" s="5" t="str">
        <f>"2420104913"</f>
        <v>2420104913</v>
      </c>
      <c r="D64" s="5" t="str">
        <f>"049"</f>
        <v>049</v>
      </c>
      <c r="E64" s="5" t="str">
        <f>"13"</f>
        <v>13</v>
      </c>
      <c r="F64" s="6" t="s">
        <v>24</v>
      </c>
      <c r="G64" s="6">
        <v>99</v>
      </c>
      <c r="H64" s="7">
        <v>82.5</v>
      </c>
      <c r="I64" s="6">
        <v>80.4</v>
      </c>
      <c r="J64" s="7">
        <v>67</v>
      </c>
      <c r="K64" s="6"/>
      <c r="L64" s="8">
        <v>74.75</v>
      </c>
      <c r="M64" s="8">
        <v>91.5</v>
      </c>
      <c r="N64" s="12">
        <v>81.45</v>
      </c>
      <c r="O64" s="5"/>
      <c r="P64" s="10"/>
    </row>
    <row r="65" s="1" customFormat="1" ht="14.25" customHeight="1" spans="1:16">
      <c r="A65" s="3">
        <v>63</v>
      </c>
      <c r="B65" s="4" t="str">
        <f t="shared" si="7"/>
        <v>20240309</v>
      </c>
      <c r="C65" s="5" t="str">
        <f>"2420105326"</f>
        <v>2420105326</v>
      </c>
      <c r="D65" s="5" t="str">
        <f>"053"</f>
        <v>053</v>
      </c>
      <c r="E65" s="5" t="str">
        <f>"26"</f>
        <v>26</v>
      </c>
      <c r="F65" s="6" t="s">
        <v>24</v>
      </c>
      <c r="G65" s="6">
        <v>77.5</v>
      </c>
      <c r="H65" s="7">
        <v>64.5833333333333</v>
      </c>
      <c r="I65" s="6">
        <v>106.5</v>
      </c>
      <c r="J65" s="7">
        <v>88.75</v>
      </c>
      <c r="K65" s="6"/>
      <c r="L65" s="8">
        <v>76.6666666666667</v>
      </c>
      <c r="M65" s="8">
        <v>87.98</v>
      </c>
      <c r="N65" s="12">
        <v>81.19</v>
      </c>
      <c r="O65" s="5"/>
      <c r="P65" s="10"/>
    </row>
    <row r="66" s="1" customFormat="1" ht="14.25" customHeight="1" spans="1:16">
      <c r="A66" s="3">
        <v>64</v>
      </c>
      <c r="B66" s="4" t="str">
        <f t="shared" si="7"/>
        <v>20240309</v>
      </c>
      <c r="C66" s="5" t="str">
        <f>"2420104402"</f>
        <v>2420104402</v>
      </c>
      <c r="D66" s="5" t="str">
        <f>"044"</f>
        <v>044</v>
      </c>
      <c r="E66" s="5" t="str">
        <f>"02"</f>
        <v>02</v>
      </c>
      <c r="F66" s="6" t="s">
        <v>24</v>
      </c>
      <c r="G66" s="6">
        <v>88</v>
      </c>
      <c r="H66" s="7">
        <v>73.3333333333333</v>
      </c>
      <c r="I66" s="6">
        <v>95.7</v>
      </c>
      <c r="J66" s="7">
        <v>79.75</v>
      </c>
      <c r="K66" s="6"/>
      <c r="L66" s="8">
        <v>76.5416666666667</v>
      </c>
      <c r="M66" s="8">
        <v>87.8</v>
      </c>
      <c r="N66" s="12">
        <v>81.05</v>
      </c>
      <c r="O66" s="5"/>
      <c r="P66" s="10"/>
    </row>
    <row r="67" s="1" customFormat="1" ht="14.25" customHeight="1" spans="1:16">
      <c r="A67" s="3">
        <v>65</v>
      </c>
      <c r="B67" s="4" t="str">
        <f t="shared" si="7"/>
        <v>20240309</v>
      </c>
      <c r="C67" s="5" t="str">
        <f>"2420105805"</f>
        <v>2420105805</v>
      </c>
      <c r="D67" s="5" t="str">
        <f>"058"</f>
        <v>058</v>
      </c>
      <c r="E67" s="5" t="str">
        <f>"05"</f>
        <v>05</v>
      </c>
      <c r="F67" s="6" t="s">
        <v>24</v>
      </c>
      <c r="G67" s="6">
        <v>92</v>
      </c>
      <c r="H67" s="7">
        <v>76.6666666666667</v>
      </c>
      <c r="I67" s="6">
        <v>87.2</v>
      </c>
      <c r="J67" s="7">
        <v>72.6666666666667</v>
      </c>
      <c r="K67" s="6"/>
      <c r="L67" s="8">
        <v>74.6666666666667</v>
      </c>
      <c r="M67" s="8">
        <v>90.3</v>
      </c>
      <c r="N67" s="12">
        <v>80.92</v>
      </c>
      <c r="O67" s="5"/>
      <c r="P67" s="10"/>
    </row>
    <row r="68" s="1" customFormat="1" ht="14.25" customHeight="1" spans="1:16">
      <c r="A68" s="3">
        <v>66</v>
      </c>
      <c r="B68" s="4" t="str">
        <f t="shared" si="7"/>
        <v>20240309</v>
      </c>
      <c r="C68" s="5" t="str">
        <f>"2420105214"</f>
        <v>2420105214</v>
      </c>
      <c r="D68" s="5" t="str">
        <f>"052"</f>
        <v>052</v>
      </c>
      <c r="E68" s="5" t="str">
        <f>"14"</f>
        <v>14</v>
      </c>
      <c r="F68" s="6" t="s">
        <v>24</v>
      </c>
      <c r="G68" s="6">
        <v>91</v>
      </c>
      <c r="H68" s="7">
        <v>75.8333333333333</v>
      </c>
      <c r="I68" s="6">
        <v>86.4</v>
      </c>
      <c r="J68" s="7">
        <v>72</v>
      </c>
      <c r="K68" s="6"/>
      <c r="L68" s="8">
        <v>73.9166666666667</v>
      </c>
      <c r="M68" s="8">
        <v>91.18</v>
      </c>
      <c r="N68" s="12">
        <v>80.82</v>
      </c>
      <c r="O68" s="5"/>
      <c r="P68" s="10"/>
    </row>
    <row r="69" s="1" customFormat="1" ht="14.25" customHeight="1" spans="1:16">
      <c r="A69" s="3">
        <v>67</v>
      </c>
      <c r="B69" s="4" t="str">
        <f t="shared" ref="B69:B74" si="8">"20240310"</f>
        <v>20240310</v>
      </c>
      <c r="C69" s="5" t="str">
        <f>"2420107217"</f>
        <v>2420107217</v>
      </c>
      <c r="D69" s="5" t="str">
        <f>"072"</f>
        <v>072</v>
      </c>
      <c r="E69" s="5" t="str">
        <f>"17"</f>
        <v>17</v>
      </c>
      <c r="F69" s="6" t="s">
        <v>25</v>
      </c>
      <c r="G69" s="6">
        <v>87.5</v>
      </c>
      <c r="H69" s="7">
        <v>72.9166666666667</v>
      </c>
      <c r="I69" s="6">
        <v>114</v>
      </c>
      <c r="J69" s="7">
        <v>95</v>
      </c>
      <c r="K69" s="6"/>
      <c r="L69" s="8">
        <v>83.9583333333333</v>
      </c>
      <c r="M69" s="13">
        <v>78</v>
      </c>
      <c r="N69" s="13">
        <v>81.58</v>
      </c>
      <c r="O69" s="5"/>
      <c r="P69" s="10"/>
    </row>
    <row r="70" s="1" customFormat="1" ht="14.25" customHeight="1" spans="1:16">
      <c r="A70" s="3">
        <v>68</v>
      </c>
      <c r="B70" s="4" t="str">
        <f t="shared" si="8"/>
        <v>20240310</v>
      </c>
      <c r="C70" s="5" t="str">
        <f>"2420106911"</f>
        <v>2420106911</v>
      </c>
      <c r="D70" s="5" t="str">
        <f>"069"</f>
        <v>069</v>
      </c>
      <c r="E70" s="5" t="str">
        <f>"11"</f>
        <v>11</v>
      </c>
      <c r="F70" s="6" t="s">
        <v>25</v>
      </c>
      <c r="G70" s="6">
        <v>103.5</v>
      </c>
      <c r="H70" s="7">
        <v>86.25</v>
      </c>
      <c r="I70" s="6">
        <v>96.5</v>
      </c>
      <c r="J70" s="7">
        <v>80.4166666666667</v>
      </c>
      <c r="K70" s="6"/>
      <c r="L70" s="8">
        <v>83.3333333333333</v>
      </c>
      <c r="M70" s="13">
        <v>77.8</v>
      </c>
      <c r="N70" s="13">
        <v>81.12</v>
      </c>
      <c r="O70" s="5"/>
      <c r="P70" s="10"/>
    </row>
    <row r="71" s="1" customFormat="1" ht="14.25" customHeight="1" spans="1:16">
      <c r="A71" s="3">
        <v>69</v>
      </c>
      <c r="B71" s="4" t="str">
        <f t="shared" si="8"/>
        <v>20240310</v>
      </c>
      <c r="C71" s="5" t="str">
        <f>"2420107102"</f>
        <v>2420107102</v>
      </c>
      <c r="D71" s="5" t="str">
        <f>"071"</f>
        <v>071</v>
      </c>
      <c r="E71" s="5" t="str">
        <f>"02"</f>
        <v>02</v>
      </c>
      <c r="F71" s="6" t="s">
        <v>25</v>
      </c>
      <c r="G71" s="6">
        <v>93</v>
      </c>
      <c r="H71" s="7">
        <v>77.5</v>
      </c>
      <c r="I71" s="6">
        <v>109.5</v>
      </c>
      <c r="J71" s="7">
        <v>91.25</v>
      </c>
      <c r="K71" s="6"/>
      <c r="L71" s="8">
        <v>84.375</v>
      </c>
      <c r="M71" s="13">
        <v>76.2</v>
      </c>
      <c r="N71" s="13">
        <v>81.11</v>
      </c>
      <c r="O71" s="5"/>
      <c r="P71" s="10"/>
    </row>
    <row r="72" s="1" customFormat="1" ht="14.25" customHeight="1" spans="1:16">
      <c r="A72" s="3">
        <v>70</v>
      </c>
      <c r="B72" s="4" t="str">
        <f t="shared" si="8"/>
        <v>20240310</v>
      </c>
      <c r="C72" s="5" t="str">
        <f>"2420106622"</f>
        <v>2420106622</v>
      </c>
      <c r="D72" s="5" t="str">
        <f>"066"</f>
        <v>066</v>
      </c>
      <c r="E72" s="5" t="str">
        <f>"22"</f>
        <v>22</v>
      </c>
      <c r="F72" s="6" t="s">
        <v>25</v>
      </c>
      <c r="G72" s="6">
        <v>100</v>
      </c>
      <c r="H72" s="7">
        <v>83.3333333333333</v>
      </c>
      <c r="I72" s="6">
        <v>106</v>
      </c>
      <c r="J72" s="7">
        <v>88.3333333333333</v>
      </c>
      <c r="K72" s="6"/>
      <c r="L72" s="8">
        <v>85.8333333333333</v>
      </c>
      <c r="M72" s="13">
        <v>73.4</v>
      </c>
      <c r="N72" s="13">
        <v>80.86</v>
      </c>
      <c r="O72" s="5"/>
      <c r="P72" s="10"/>
    </row>
    <row r="73" s="1" customFormat="1" ht="14.25" customHeight="1" spans="1:16">
      <c r="A73" s="3">
        <v>71</v>
      </c>
      <c r="B73" s="4" t="str">
        <f t="shared" si="8"/>
        <v>20240310</v>
      </c>
      <c r="C73" s="5" t="str">
        <f>"2420107120"</f>
        <v>2420107120</v>
      </c>
      <c r="D73" s="5" t="str">
        <f>"071"</f>
        <v>071</v>
      </c>
      <c r="E73" s="5" t="str">
        <f>"20"</f>
        <v>20</v>
      </c>
      <c r="F73" s="6" t="s">
        <v>25</v>
      </c>
      <c r="G73" s="6">
        <v>94</v>
      </c>
      <c r="H73" s="7">
        <v>78.3333333333333</v>
      </c>
      <c r="I73" s="6">
        <v>109.5</v>
      </c>
      <c r="J73" s="7">
        <v>91.25</v>
      </c>
      <c r="K73" s="6"/>
      <c r="L73" s="8">
        <v>84.7916666666667</v>
      </c>
      <c r="M73" s="13">
        <v>74</v>
      </c>
      <c r="N73" s="13">
        <v>80.48</v>
      </c>
      <c r="O73" s="5"/>
      <c r="P73" s="10"/>
    </row>
    <row r="74" s="1" customFormat="1" ht="14.25" customHeight="1" spans="1:16">
      <c r="A74" s="3">
        <v>72</v>
      </c>
      <c r="B74" s="4" t="str">
        <f t="shared" si="8"/>
        <v>20240310</v>
      </c>
      <c r="C74" s="5" t="str">
        <f>"2420107026"</f>
        <v>2420107026</v>
      </c>
      <c r="D74" s="5" t="str">
        <f>"070"</f>
        <v>070</v>
      </c>
      <c r="E74" s="5" t="str">
        <f>"26"</f>
        <v>26</v>
      </c>
      <c r="F74" s="6" t="s">
        <v>25</v>
      </c>
      <c r="G74" s="6">
        <v>93.5</v>
      </c>
      <c r="H74" s="7">
        <v>77.9166666666667</v>
      </c>
      <c r="I74" s="6">
        <v>114</v>
      </c>
      <c r="J74" s="7">
        <v>95</v>
      </c>
      <c r="K74" s="6"/>
      <c r="L74" s="8">
        <v>86.4583333333333</v>
      </c>
      <c r="M74" s="13">
        <v>71.4</v>
      </c>
      <c r="N74" s="13">
        <v>80.44</v>
      </c>
      <c r="O74" s="5"/>
      <c r="P74" s="10"/>
    </row>
    <row r="75" s="1" customFormat="1" ht="14.25" customHeight="1" spans="1:16">
      <c r="A75" s="3">
        <v>73</v>
      </c>
      <c r="B75" s="4" t="str">
        <f t="shared" ref="B75:B81" si="9">"20240311"</f>
        <v>20240311</v>
      </c>
      <c r="C75" s="5" t="str">
        <f>"2420107530"</f>
        <v>2420107530</v>
      </c>
      <c r="D75" s="5" t="str">
        <f>"075"</f>
        <v>075</v>
      </c>
      <c r="E75" s="5" t="str">
        <f>"30"</f>
        <v>30</v>
      </c>
      <c r="F75" s="6" t="s">
        <v>26</v>
      </c>
      <c r="G75" s="6">
        <v>94</v>
      </c>
      <c r="H75" s="7">
        <v>78.3333333333333</v>
      </c>
      <c r="I75" s="6">
        <v>114.5</v>
      </c>
      <c r="J75" s="7">
        <v>95.4166666666667</v>
      </c>
      <c r="K75" s="6"/>
      <c r="L75" s="8">
        <v>86.875</v>
      </c>
      <c r="M75" s="13">
        <v>83.1</v>
      </c>
      <c r="N75" s="13">
        <v>85.37</v>
      </c>
      <c r="O75" s="5"/>
      <c r="P75" s="10"/>
    </row>
    <row r="76" s="1" customFormat="1" ht="14.25" customHeight="1" spans="1:16">
      <c r="A76" s="3">
        <v>74</v>
      </c>
      <c r="B76" s="4" t="str">
        <f t="shared" si="9"/>
        <v>20240311</v>
      </c>
      <c r="C76" s="5" t="str">
        <f>"2420107628"</f>
        <v>2420107628</v>
      </c>
      <c r="D76" s="5" t="str">
        <f>"076"</f>
        <v>076</v>
      </c>
      <c r="E76" s="5" t="str">
        <f>"28"</f>
        <v>28</v>
      </c>
      <c r="F76" s="6" t="s">
        <v>26</v>
      </c>
      <c r="G76" s="6">
        <v>93.5</v>
      </c>
      <c r="H76" s="7">
        <v>77.9166666666667</v>
      </c>
      <c r="I76" s="6">
        <v>114</v>
      </c>
      <c r="J76" s="7">
        <v>95</v>
      </c>
      <c r="K76" s="6"/>
      <c r="L76" s="8">
        <v>86.4583333333333</v>
      </c>
      <c r="M76" s="13">
        <v>81</v>
      </c>
      <c r="N76" s="13">
        <v>84.28</v>
      </c>
      <c r="O76" s="5"/>
      <c r="P76" s="10"/>
    </row>
    <row r="77" s="1" customFormat="1" ht="14.25" customHeight="1" spans="1:16">
      <c r="A77" s="3">
        <v>75</v>
      </c>
      <c r="B77" s="4" t="str">
        <f t="shared" si="9"/>
        <v>20240311</v>
      </c>
      <c r="C77" s="5" t="str">
        <f>"2420107905"</f>
        <v>2420107905</v>
      </c>
      <c r="D77" s="5" t="str">
        <f>"079"</f>
        <v>079</v>
      </c>
      <c r="E77" s="5" t="str">
        <f>"05"</f>
        <v>05</v>
      </c>
      <c r="F77" s="6" t="s">
        <v>26</v>
      </c>
      <c r="G77" s="6">
        <v>87.5</v>
      </c>
      <c r="H77" s="7">
        <v>72.9166666666667</v>
      </c>
      <c r="I77" s="6">
        <v>114</v>
      </c>
      <c r="J77" s="7">
        <v>95</v>
      </c>
      <c r="K77" s="6"/>
      <c r="L77" s="8">
        <v>83.9583333333333</v>
      </c>
      <c r="M77" s="13">
        <v>84.7</v>
      </c>
      <c r="N77" s="13">
        <v>84.26</v>
      </c>
      <c r="O77" s="5"/>
      <c r="P77" s="10"/>
    </row>
    <row r="78" s="1" customFormat="1" ht="14.25" customHeight="1" spans="1:16">
      <c r="A78" s="3">
        <v>76</v>
      </c>
      <c r="B78" s="4" t="str">
        <f t="shared" si="9"/>
        <v>20240311</v>
      </c>
      <c r="C78" s="5" t="str">
        <f>"2420108503"</f>
        <v>2420108503</v>
      </c>
      <c r="D78" s="5" t="str">
        <f>"085"</f>
        <v>085</v>
      </c>
      <c r="E78" s="5" t="str">
        <f>"03"</f>
        <v>03</v>
      </c>
      <c r="F78" s="6" t="s">
        <v>26</v>
      </c>
      <c r="G78" s="6">
        <v>95.5</v>
      </c>
      <c r="H78" s="7">
        <v>79.5833333333333</v>
      </c>
      <c r="I78" s="6">
        <v>107.5</v>
      </c>
      <c r="J78" s="7">
        <v>89.5833333333333</v>
      </c>
      <c r="K78" s="6"/>
      <c r="L78" s="8">
        <v>84.5833333333333</v>
      </c>
      <c r="M78" s="13">
        <v>82.86</v>
      </c>
      <c r="N78" s="13">
        <v>83.89</v>
      </c>
      <c r="O78" s="5"/>
      <c r="P78" s="10"/>
    </row>
    <row r="79" s="1" customFormat="1" ht="14.25" customHeight="1" spans="1:16">
      <c r="A79" s="3">
        <v>77</v>
      </c>
      <c r="B79" s="4" t="str">
        <f t="shared" si="9"/>
        <v>20240311</v>
      </c>
      <c r="C79" s="5" t="str">
        <f>"2420107414"</f>
        <v>2420107414</v>
      </c>
      <c r="D79" s="5" t="str">
        <f>"074"</f>
        <v>074</v>
      </c>
      <c r="E79" s="5" t="str">
        <f>"14"</f>
        <v>14</v>
      </c>
      <c r="F79" s="6" t="s">
        <v>26</v>
      </c>
      <c r="G79" s="6">
        <v>96</v>
      </c>
      <c r="H79" s="7">
        <v>80</v>
      </c>
      <c r="I79" s="6">
        <v>111.5</v>
      </c>
      <c r="J79" s="7">
        <v>92.9166666666667</v>
      </c>
      <c r="K79" s="6"/>
      <c r="L79" s="8">
        <v>86.4583333333333</v>
      </c>
      <c r="M79" s="13">
        <v>78.52</v>
      </c>
      <c r="N79" s="13">
        <v>83.28</v>
      </c>
      <c r="O79" s="5"/>
      <c r="P79" s="10"/>
    </row>
    <row r="80" s="1" customFormat="1" ht="14.25" customHeight="1" spans="1:16">
      <c r="A80" s="3">
        <v>78</v>
      </c>
      <c r="B80" s="4" t="str">
        <f t="shared" si="9"/>
        <v>20240311</v>
      </c>
      <c r="C80" s="5" t="str">
        <f>"2420107304"</f>
        <v>2420107304</v>
      </c>
      <c r="D80" s="5" t="str">
        <f>"073"</f>
        <v>073</v>
      </c>
      <c r="E80" s="5" t="str">
        <f>"04"</f>
        <v>04</v>
      </c>
      <c r="F80" s="6" t="s">
        <v>26</v>
      </c>
      <c r="G80" s="6">
        <v>98</v>
      </c>
      <c r="H80" s="7">
        <v>81.6666666666667</v>
      </c>
      <c r="I80" s="6">
        <v>107</v>
      </c>
      <c r="J80" s="7">
        <v>89.1666666666667</v>
      </c>
      <c r="K80" s="6"/>
      <c r="L80" s="8">
        <v>85.4166666666667</v>
      </c>
      <c r="M80" s="13">
        <v>78.48</v>
      </c>
      <c r="N80" s="13">
        <v>82.64</v>
      </c>
      <c r="O80" s="5"/>
      <c r="P80" s="10"/>
    </row>
    <row r="81" s="1" customFormat="1" ht="14.25" customHeight="1" spans="1:16">
      <c r="A81" s="3">
        <v>79</v>
      </c>
      <c r="B81" s="4" t="str">
        <f t="shared" si="9"/>
        <v>20240311</v>
      </c>
      <c r="C81" s="5" t="str">
        <f>"2420107326"</f>
        <v>2420107326</v>
      </c>
      <c r="D81" s="5" t="str">
        <f>"073"</f>
        <v>073</v>
      </c>
      <c r="E81" s="5" t="str">
        <f>"26"</f>
        <v>26</v>
      </c>
      <c r="F81" s="6" t="s">
        <v>26</v>
      </c>
      <c r="G81" s="6">
        <v>89</v>
      </c>
      <c r="H81" s="7">
        <v>74.1666666666667</v>
      </c>
      <c r="I81" s="6">
        <v>110</v>
      </c>
      <c r="J81" s="7">
        <v>91.6666666666667</v>
      </c>
      <c r="K81" s="6"/>
      <c r="L81" s="8">
        <v>82.9166666666667</v>
      </c>
      <c r="M81" s="13">
        <v>80.86</v>
      </c>
      <c r="N81" s="13">
        <v>82.09</v>
      </c>
      <c r="O81" s="5"/>
      <c r="P81" s="10"/>
    </row>
    <row r="82" s="1" customFormat="1" ht="14.25" customHeight="1" spans="1:16">
      <c r="A82" s="3">
        <v>80</v>
      </c>
      <c r="B82" s="4" t="str">
        <f t="shared" ref="B82:B84" si="10">"20240312"</f>
        <v>20240312</v>
      </c>
      <c r="C82" s="5" t="str">
        <f>"2410312007"</f>
        <v>2410312007</v>
      </c>
      <c r="D82" s="5" t="str">
        <f>"120"</f>
        <v>120</v>
      </c>
      <c r="E82" s="5" t="str">
        <f>"07"</f>
        <v>07</v>
      </c>
      <c r="F82" s="6" t="s">
        <v>27</v>
      </c>
      <c r="G82" s="6">
        <v>80</v>
      </c>
      <c r="H82" s="7">
        <v>66.6666666666667</v>
      </c>
      <c r="I82" s="6">
        <v>81.9</v>
      </c>
      <c r="J82" s="7">
        <v>68.25</v>
      </c>
      <c r="K82" s="6"/>
      <c r="L82" s="8">
        <v>67.4583333333333</v>
      </c>
      <c r="M82" s="13">
        <v>77</v>
      </c>
      <c r="N82" s="13">
        <v>71.28</v>
      </c>
      <c r="O82" s="5"/>
      <c r="P82" s="10"/>
    </row>
    <row r="83" s="1" customFormat="1" ht="14.25" customHeight="1" spans="1:16">
      <c r="A83" s="3">
        <v>81</v>
      </c>
      <c r="B83" s="4" t="str">
        <f t="shared" si="10"/>
        <v>20240312</v>
      </c>
      <c r="C83" s="5" t="str">
        <f>"2410312005"</f>
        <v>2410312005</v>
      </c>
      <c r="D83" s="5" t="str">
        <f>"120"</f>
        <v>120</v>
      </c>
      <c r="E83" s="5" t="str">
        <f t="shared" ref="E83:E87" si="11">"05"</f>
        <v>05</v>
      </c>
      <c r="F83" s="6" t="s">
        <v>27</v>
      </c>
      <c r="G83" s="6">
        <v>82.5</v>
      </c>
      <c r="H83" s="7">
        <v>68.75</v>
      </c>
      <c r="I83" s="6">
        <v>75.1</v>
      </c>
      <c r="J83" s="7">
        <v>62.5833333333333</v>
      </c>
      <c r="K83" s="6"/>
      <c r="L83" s="8">
        <v>65.6666666666667</v>
      </c>
      <c r="M83" s="13">
        <v>79.24</v>
      </c>
      <c r="N83" s="13">
        <v>71.1</v>
      </c>
      <c r="O83" s="5"/>
      <c r="P83" s="10"/>
    </row>
    <row r="84" s="1" customFormat="1" ht="14.25" customHeight="1" spans="1:16">
      <c r="A84" s="3">
        <v>82</v>
      </c>
      <c r="B84" s="4" t="str">
        <f t="shared" si="10"/>
        <v>20240312</v>
      </c>
      <c r="C84" s="5" t="str">
        <f>"2410312205"</f>
        <v>2410312205</v>
      </c>
      <c r="D84" s="5" t="str">
        <f>"122"</f>
        <v>122</v>
      </c>
      <c r="E84" s="5" t="str">
        <f t="shared" si="11"/>
        <v>05</v>
      </c>
      <c r="F84" s="6" t="s">
        <v>27</v>
      </c>
      <c r="G84" s="6">
        <v>82</v>
      </c>
      <c r="H84" s="7">
        <v>68.3333333333333</v>
      </c>
      <c r="I84" s="6">
        <v>76.9</v>
      </c>
      <c r="J84" s="7">
        <v>64.0833333333333</v>
      </c>
      <c r="K84" s="6"/>
      <c r="L84" s="8">
        <v>66.2083333333333</v>
      </c>
      <c r="M84" s="13">
        <v>77.02</v>
      </c>
      <c r="N84" s="13">
        <v>70.53</v>
      </c>
      <c r="O84" s="5"/>
      <c r="P84" s="10"/>
    </row>
    <row r="85" s="1" customFormat="1" ht="14.25" customHeight="1" spans="1:16">
      <c r="A85" s="3">
        <v>83</v>
      </c>
      <c r="B85" s="4" t="str">
        <f t="shared" ref="B85:B90" si="12">"20240313"</f>
        <v>20240313</v>
      </c>
      <c r="C85" s="5" t="str">
        <f>"2420208918"</f>
        <v>2420208918</v>
      </c>
      <c r="D85" s="5" t="str">
        <f>"089"</f>
        <v>089</v>
      </c>
      <c r="E85" s="5" t="str">
        <f>"18"</f>
        <v>18</v>
      </c>
      <c r="F85" s="6" t="s">
        <v>28</v>
      </c>
      <c r="G85" s="6">
        <v>88.5</v>
      </c>
      <c r="H85" s="7">
        <v>73.75</v>
      </c>
      <c r="I85" s="6">
        <v>92</v>
      </c>
      <c r="J85" s="7">
        <v>76.6666666666667</v>
      </c>
      <c r="K85" s="6"/>
      <c r="L85" s="8">
        <v>75.2083333333333</v>
      </c>
      <c r="M85" s="13">
        <v>86.88</v>
      </c>
      <c r="N85" s="13">
        <v>79.88</v>
      </c>
      <c r="O85" s="5"/>
      <c r="P85" s="10"/>
    </row>
    <row r="86" s="1" customFormat="1" ht="14.25" customHeight="1" spans="1:16">
      <c r="A86" s="3">
        <v>84</v>
      </c>
      <c r="B86" s="4" t="str">
        <f t="shared" si="12"/>
        <v>20240313</v>
      </c>
      <c r="C86" s="5" t="str">
        <f>"2420208821"</f>
        <v>2420208821</v>
      </c>
      <c r="D86" s="5" t="str">
        <f>"088"</f>
        <v>088</v>
      </c>
      <c r="E86" s="5" t="str">
        <f>"21"</f>
        <v>21</v>
      </c>
      <c r="F86" s="6" t="s">
        <v>28</v>
      </c>
      <c r="G86" s="6">
        <v>80.5</v>
      </c>
      <c r="H86" s="7">
        <v>67.0833333333333</v>
      </c>
      <c r="I86" s="6">
        <v>100.5</v>
      </c>
      <c r="J86" s="7">
        <v>83.75</v>
      </c>
      <c r="K86" s="6"/>
      <c r="L86" s="8">
        <v>75.4166666666667</v>
      </c>
      <c r="M86" s="13">
        <v>84.28</v>
      </c>
      <c r="N86" s="13">
        <v>78.96</v>
      </c>
      <c r="O86" s="5"/>
      <c r="P86" s="10"/>
    </row>
    <row r="87" s="1" customFormat="1" ht="14.25" customHeight="1" spans="1:16">
      <c r="A87" s="3">
        <v>85</v>
      </c>
      <c r="B87" s="4" t="str">
        <f t="shared" si="12"/>
        <v>20240313</v>
      </c>
      <c r="C87" s="5" t="str">
        <f>"2420108705"</f>
        <v>2420108705</v>
      </c>
      <c r="D87" s="5" t="str">
        <f>"087"</f>
        <v>087</v>
      </c>
      <c r="E87" s="5" t="str">
        <f t="shared" si="11"/>
        <v>05</v>
      </c>
      <c r="F87" s="6" t="s">
        <v>28</v>
      </c>
      <c r="G87" s="6">
        <v>82</v>
      </c>
      <c r="H87" s="7">
        <v>68.3333333333333</v>
      </c>
      <c r="I87" s="6">
        <v>91.5</v>
      </c>
      <c r="J87" s="7">
        <v>76.25</v>
      </c>
      <c r="K87" s="6"/>
      <c r="L87" s="8">
        <v>72.2916666666667</v>
      </c>
      <c r="M87" s="13">
        <v>86.18</v>
      </c>
      <c r="N87" s="13">
        <v>77.85</v>
      </c>
      <c r="O87" s="5"/>
      <c r="P87" s="10"/>
    </row>
    <row r="88" s="1" customFormat="1" ht="14.25" customHeight="1" spans="1:16">
      <c r="A88" s="3">
        <v>86</v>
      </c>
      <c r="B88" s="4" t="str">
        <f t="shared" si="12"/>
        <v>20240313</v>
      </c>
      <c r="C88" s="5" t="str">
        <f>"2420209014"</f>
        <v>2420209014</v>
      </c>
      <c r="D88" s="5" t="str">
        <f>"090"</f>
        <v>090</v>
      </c>
      <c r="E88" s="5" t="str">
        <f>"14"</f>
        <v>14</v>
      </c>
      <c r="F88" s="6" t="s">
        <v>28</v>
      </c>
      <c r="G88" s="6">
        <v>85.5</v>
      </c>
      <c r="H88" s="7">
        <v>71.25</v>
      </c>
      <c r="I88" s="6">
        <v>96.5</v>
      </c>
      <c r="J88" s="7">
        <v>80.4166666666667</v>
      </c>
      <c r="K88" s="6"/>
      <c r="L88" s="8">
        <v>75.8333333333333</v>
      </c>
      <c r="M88" s="13">
        <v>78.28</v>
      </c>
      <c r="N88" s="13">
        <v>76.81</v>
      </c>
      <c r="O88" s="5"/>
      <c r="P88" s="10"/>
    </row>
    <row r="89" s="1" customFormat="1" ht="14.25" customHeight="1" spans="1:16">
      <c r="A89" s="3">
        <v>87</v>
      </c>
      <c r="B89" s="4" t="str">
        <f t="shared" si="12"/>
        <v>20240313</v>
      </c>
      <c r="C89" s="5" t="str">
        <f>"2420208826"</f>
        <v>2420208826</v>
      </c>
      <c r="D89" s="5" t="str">
        <f>"088"</f>
        <v>088</v>
      </c>
      <c r="E89" s="5" t="str">
        <f>"26"</f>
        <v>26</v>
      </c>
      <c r="F89" s="6" t="s">
        <v>28</v>
      </c>
      <c r="G89" s="6">
        <v>75.5</v>
      </c>
      <c r="H89" s="7">
        <v>62.9166666666667</v>
      </c>
      <c r="I89" s="6">
        <v>97.5</v>
      </c>
      <c r="J89" s="7">
        <v>81.25</v>
      </c>
      <c r="K89" s="6"/>
      <c r="L89" s="8">
        <v>72.0833333333333</v>
      </c>
      <c r="M89" s="13">
        <v>83.3</v>
      </c>
      <c r="N89" s="13">
        <v>76.57</v>
      </c>
      <c r="O89" s="5"/>
      <c r="P89" s="10"/>
    </row>
    <row r="90" s="1" customFormat="1" ht="14.25" customHeight="1" spans="1:16">
      <c r="A90" s="3">
        <v>88</v>
      </c>
      <c r="B90" s="4" t="str">
        <f t="shared" si="12"/>
        <v>20240313</v>
      </c>
      <c r="C90" s="5" t="str">
        <f>"2420209025"</f>
        <v>2420209025</v>
      </c>
      <c r="D90" s="5" t="str">
        <f>"090"</f>
        <v>090</v>
      </c>
      <c r="E90" s="5" t="str">
        <f>"25"</f>
        <v>25</v>
      </c>
      <c r="F90" s="6" t="s">
        <v>28</v>
      </c>
      <c r="G90" s="6">
        <v>76</v>
      </c>
      <c r="H90" s="7">
        <v>63.3333333333333</v>
      </c>
      <c r="I90" s="6">
        <v>91.5</v>
      </c>
      <c r="J90" s="7">
        <v>76.25</v>
      </c>
      <c r="K90" s="6"/>
      <c r="L90" s="8">
        <v>69.7916666666667</v>
      </c>
      <c r="M90" s="13">
        <v>85.92</v>
      </c>
      <c r="N90" s="13">
        <v>76.24</v>
      </c>
      <c r="O90" s="5"/>
      <c r="P90" s="10"/>
    </row>
    <row r="91" s="1" customFormat="1" ht="14.25" customHeight="1" spans="1:16">
      <c r="A91" s="3">
        <v>89</v>
      </c>
      <c r="B91" s="4" t="str">
        <f t="shared" ref="B91:B96" si="13">"20240314"</f>
        <v>20240314</v>
      </c>
      <c r="C91" s="5" t="str">
        <f>"2420209411"</f>
        <v>2420209411</v>
      </c>
      <c r="D91" s="5" t="str">
        <f>"094"</f>
        <v>094</v>
      </c>
      <c r="E91" s="5" t="str">
        <f>"11"</f>
        <v>11</v>
      </c>
      <c r="F91" s="6" t="s">
        <v>29</v>
      </c>
      <c r="G91" s="6">
        <v>86</v>
      </c>
      <c r="H91" s="7">
        <v>71.6666666666667</v>
      </c>
      <c r="I91" s="6">
        <v>92.5</v>
      </c>
      <c r="J91" s="7">
        <v>77.0833333333333</v>
      </c>
      <c r="K91" s="6"/>
      <c r="L91" s="8">
        <v>74.375</v>
      </c>
      <c r="M91" s="13">
        <v>85.54</v>
      </c>
      <c r="N91" s="13">
        <v>78.84</v>
      </c>
      <c r="O91" s="5"/>
      <c r="P91" s="10"/>
    </row>
    <row r="92" s="1" customFormat="1" ht="14.25" customHeight="1" spans="1:16">
      <c r="A92" s="3">
        <v>90</v>
      </c>
      <c r="B92" s="4" t="str">
        <f t="shared" si="13"/>
        <v>20240314</v>
      </c>
      <c r="C92" s="5" t="str">
        <f>"2420209205"</f>
        <v>2420209205</v>
      </c>
      <c r="D92" s="5" t="str">
        <f>"092"</f>
        <v>092</v>
      </c>
      <c r="E92" s="5" t="str">
        <f>"05"</f>
        <v>05</v>
      </c>
      <c r="F92" s="6" t="s">
        <v>29</v>
      </c>
      <c r="G92" s="6">
        <v>87</v>
      </c>
      <c r="H92" s="7">
        <v>72.5</v>
      </c>
      <c r="I92" s="6">
        <v>84.5</v>
      </c>
      <c r="J92" s="7">
        <v>70.4166666666667</v>
      </c>
      <c r="K92" s="6"/>
      <c r="L92" s="8">
        <v>71.4583333333333</v>
      </c>
      <c r="M92" s="13">
        <v>88.22</v>
      </c>
      <c r="N92" s="13">
        <v>78.16</v>
      </c>
      <c r="O92" s="5"/>
      <c r="P92" s="10"/>
    </row>
    <row r="93" s="1" customFormat="1" ht="14.25" customHeight="1" spans="1:16">
      <c r="A93" s="3">
        <v>91</v>
      </c>
      <c r="B93" s="4" t="str">
        <f t="shared" si="13"/>
        <v>20240314</v>
      </c>
      <c r="C93" s="5" t="str">
        <f>"2420209705"</f>
        <v>2420209705</v>
      </c>
      <c r="D93" s="5" t="str">
        <f>"097"</f>
        <v>097</v>
      </c>
      <c r="E93" s="5" t="str">
        <f>"05"</f>
        <v>05</v>
      </c>
      <c r="F93" s="6" t="s">
        <v>29</v>
      </c>
      <c r="G93" s="6">
        <v>75</v>
      </c>
      <c r="H93" s="7">
        <v>62.5</v>
      </c>
      <c r="I93" s="6">
        <v>96</v>
      </c>
      <c r="J93" s="7">
        <v>80</v>
      </c>
      <c r="K93" s="6"/>
      <c r="L93" s="8">
        <v>71.25</v>
      </c>
      <c r="M93" s="13">
        <v>88.24</v>
      </c>
      <c r="N93" s="13">
        <v>78.05</v>
      </c>
      <c r="O93" s="5"/>
      <c r="P93" s="10"/>
    </row>
    <row r="94" s="1" customFormat="1" ht="14.25" customHeight="1" spans="1:16">
      <c r="A94" s="3">
        <v>92</v>
      </c>
      <c r="B94" s="4" t="str">
        <f t="shared" si="13"/>
        <v>20240314</v>
      </c>
      <c r="C94" s="5" t="str">
        <f>"2420209301"</f>
        <v>2420209301</v>
      </c>
      <c r="D94" s="5" t="str">
        <f>"093"</f>
        <v>093</v>
      </c>
      <c r="E94" s="5" t="str">
        <f>"01"</f>
        <v>01</v>
      </c>
      <c r="F94" s="6" t="s">
        <v>29</v>
      </c>
      <c r="G94" s="6">
        <v>84.5</v>
      </c>
      <c r="H94" s="7">
        <v>70.4166666666667</v>
      </c>
      <c r="I94" s="6">
        <v>94</v>
      </c>
      <c r="J94" s="7">
        <v>78.3333333333333</v>
      </c>
      <c r="K94" s="6"/>
      <c r="L94" s="8">
        <v>74.375</v>
      </c>
      <c r="M94" s="13">
        <v>83.08</v>
      </c>
      <c r="N94" s="13">
        <v>77.86</v>
      </c>
      <c r="O94" s="5"/>
      <c r="P94" s="10"/>
    </row>
    <row r="95" s="1" customFormat="1" ht="14.25" customHeight="1" spans="1:16">
      <c r="A95" s="3">
        <v>93</v>
      </c>
      <c r="B95" s="4" t="str">
        <f t="shared" si="13"/>
        <v>20240314</v>
      </c>
      <c r="C95" s="5" t="str">
        <f>"2420209314"</f>
        <v>2420209314</v>
      </c>
      <c r="D95" s="5" t="str">
        <f>"093"</f>
        <v>093</v>
      </c>
      <c r="E95" s="5" t="str">
        <f>"14"</f>
        <v>14</v>
      </c>
      <c r="F95" s="6" t="s">
        <v>29</v>
      </c>
      <c r="G95" s="6">
        <v>80.5</v>
      </c>
      <c r="H95" s="7">
        <v>67.0833333333333</v>
      </c>
      <c r="I95" s="6">
        <v>98</v>
      </c>
      <c r="J95" s="7">
        <v>81.6666666666667</v>
      </c>
      <c r="K95" s="6"/>
      <c r="L95" s="8">
        <v>74.375</v>
      </c>
      <c r="M95" s="13">
        <v>81.84</v>
      </c>
      <c r="N95" s="13">
        <v>77.36</v>
      </c>
      <c r="O95" s="5"/>
      <c r="P95" s="10"/>
    </row>
    <row r="96" s="1" customFormat="1" ht="14.25" customHeight="1" spans="1:16">
      <c r="A96" s="3">
        <v>94</v>
      </c>
      <c r="B96" s="4" t="str">
        <f t="shared" si="13"/>
        <v>20240314</v>
      </c>
      <c r="C96" s="5" t="str">
        <f>"2420209416"</f>
        <v>2420209416</v>
      </c>
      <c r="D96" s="5" t="str">
        <f>"094"</f>
        <v>094</v>
      </c>
      <c r="E96" s="5" t="str">
        <f>"16"</f>
        <v>16</v>
      </c>
      <c r="F96" s="6" t="s">
        <v>29</v>
      </c>
      <c r="G96" s="6">
        <v>81.5</v>
      </c>
      <c r="H96" s="7">
        <v>67.9166666666667</v>
      </c>
      <c r="I96" s="6">
        <v>90</v>
      </c>
      <c r="J96" s="7">
        <v>75</v>
      </c>
      <c r="K96" s="6"/>
      <c r="L96" s="8">
        <v>71.4583333333333</v>
      </c>
      <c r="M96" s="13">
        <v>85.34</v>
      </c>
      <c r="N96" s="13">
        <v>77.01</v>
      </c>
      <c r="O96" s="5"/>
      <c r="P96" s="10"/>
    </row>
    <row r="97" s="1" customFormat="1" ht="14.25" customHeight="1" spans="1:16">
      <c r="A97" s="3">
        <v>95</v>
      </c>
      <c r="B97" s="4" t="str">
        <f t="shared" ref="B97:B102" si="14">"20240315"</f>
        <v>20240315</v>
      </c>
      <c r="C97" s="5" t="str">
        <f>"2420210303"</f>
        <v>2420210303</v>
      </c>
      <c r="D97" s="5" t="str">
        <f t="shared" ref="D97:D102" si="15">"103"</f>
        <v>103</v>
      </c>
      <c r="E97" s="5" t="str">
        <f>"03"</f>
        <v>03</v>
      </c>
      <c r="F97" s="6" t="s">
        <v>30</v>
      </c>
      <c r="G97" s="6">
        <v>99.5</v>
      </c>
      <c r="H97" s="7">
        <v>82.9166666666667</v>
      </c>
      <c r="I97" s="6">
        <v>89</v>
      </c>
      <c r="J97" s="7">
        <v>74.1666666666667</v>
      </c>
      <c r="K97" s="6"/>
      <c r="L97" s="8">
        <v>78.5416666666667</v>
      </c>
      <c r="M97" s="13">
        <v>81.12</v>
      </c>
      <c r="N97" s="13">
        <v>79.57</v>
      </c>
      <c r="O97" s="5"/>
      <c r="P97" s="10"/>
    </row>
    <row r="98" s="1" customFormat="1" ht="14.25" customHeight="1" spans="1:16">
      <c r="A98" s="3">
        <v>96</v>
      </c>
      <c r="B98" s="4" t="str">
        <f t="shared" si="14"/>
        <v>20240315</v>
      </c>
      <c r="C98" s="5" t="str">
        <f>"2420210323"</f>
        <v>2420210323</v>
      </c>
      <c r="D98" s="5" t="str">
        <f t="shared" si="15"/>
        <v>103</v>
      </c>
      <c r="E98" s="5" t="str">
        <f>"23"</f>
        <v>23</v>
      </c>
      <c r="F98" s="6" t="s">
        <v>30</v>
      </c>
      <c r="G98" s="6">
        <v>94.5</v>
      </c>
      <c r="H98" s="7">
        <v>78.75</v>
      </c>
      <c r="I98" s="6">
        <v>84.5</v>
      </c>
      <c r="J98" s="7">
        <v>70.4166666666667</v>
      </c>
      <c r="K98" s="6"/>
      <c r="L98" s="8">
        <v>74.5833333333333</v>
      </c>
      <c r="M98" s="13">
        <v>83.6</v>
      </c>
      <c r="N98" s="13">
        <v>78.19</v>
      </c>
      <c r="O98" s="5"/>
      <c r="P98" s="10"/>
    </row>
    <row r="99" s="1" customFormat="1" ht="14.25" customHeight="1" spans="1:16">
      <c r="A99" s="3">
        <v>97</v>
      </c>
      <c r="B99" s="4" t="str">
        <f t="shared" si="14"/>
        <v>20240315</v>
      </c>
      <c r="C99" s="5" t="str">
        <f>"2420210107"</f>
        <v>2420210107</v>
      </c>
      <c r="D99" s="5" t="str">
        <f>"101"</f>
        <v>101</v>
      </c>
      <c r="E99" s="5" t="str">
        <f>"07"</f>
        <v>07</v>
      </c>
      <c r="F99" s="6" t="s">
        <v>30</v>
      </c>
      <c r="G99" s="6">
        <v>90</v>
      </c>
      <c r="H99" s="7">
        <v>75</v>
      </c>
      <c r="I99" s="6">
        <v>88</v>
      </c>
      <c r="J99" s="7">
        <v>73.3333333333333</v>
      </c>
      <c r="K99" s="6"/>
      <c r="L99" s="8">
        <v>74.1666666666667</v>
      </c>
      <c r="M99" s="13">
        <v>81.2</v>
      </c>
      <c r="N99" s="13">
        <v>76.98</v>
      </c>
      <c r="O99" s="5"/>
      <c r="P99" s="10"/>
    </row>
    <row r="100" s="1" customFormat="1" ht="14.25" customHeight="1" spans="1:16">
      <c r="A100" s="3">
        <v>98</v>
      </c>
      <c r="B100" s="4" t="str">
        <f t="shared" si="14"/>
        <v>20240315</v>
      </c>
      <c r="C100" s="5" t="str">
        <f>"2420210226"</f>
        <v>2420210226</v>
      </c>
      <c r="D100" s="5" t="str">
        <f>"102"</f>
        <v>102</v>
      </c>
      <c r="E100" s="5" t="str">
        <f>"26"</f>
        <v>26</v>
      </c>
      <c r="F100" s="6" t="s">
        <v>30</v>
      </c>
      <c r="G100" s="6">
        <v>77</v>
      </c>
      <c r="H100" s="7">
        <v>64.1666666666667</v>
      </c>
      <c r="I100" s="6">
        <v>102</v>
      </c>
      <c r="J100" s="7">
        <v>85</v>
      </c>
      <c r="K100" s="6"/>
      <c r="L100" s="8">
        <v>74.5833333333333</v>
      </c>
      <c r="M100" s="13">
        <v>79.62</v>
      </c>
      <c r="N100" s="13">
        <v>76.6</v>
      </c>
      <c r="O100" s="5"/>
      <c r="P100" s="10"/>
    </row>
    <row r="101" s="1" customFormat="1" ht="14.25" customHeight="1" spans="1:16">
      <c r="A101" s="3">
        <v>99</v>
      </c>
      <c r="B101" s="4" t="str">
        <f t="shared" si="14"/>
        <v>20240315</v>
      </c>
      <c r="C101" s="5" t="str">
        <f>"2420210005"</f>
        <v>2420210005</v>
      </c>
      <c r="D101" s="5" t="str">
        <f>"100"</f>
        <v>100</v>
      </c>
      <c r="E101" s="5" t="str">
        <f>"05"</f>
        <v>05</v>
      </c>
      <c r="F101" s="6" t="s">
        <v>30</v>
      </c>
      <c r="G101" s="6">
        <v>78</v>
      </c>
      <c r="H101" s="7">
        <v>65</v>
      </c>
      <c r="I101" s="6">
        <v>97.5</v>
      </c>
      <c r="J101" s="7">
        <v>81.25</v>
      </c>
      <c r="K101" s="6"/>
      <c r="L101" s="8">
        <v>73.125</v>
      </c>
      <c r="M101" s="13">
        <v>81.38</v>
      </c>
      <c r="N101" s="13">
        <v>76.43</v>
      </c>
      <c r="O101" s="5"/>
      <c r="P101" s="10"/>
    </row>
    <row r="102" s="1" customFormat="1" ht="14.25" customHeight="1" spans="1:16">
      <c r="A102" s="3">
        <v>100</v>
      </c>
      <c r="B102" s="4" t="str">
        <f t="shared" si="14"/>
        <v>20240315</v>
      </c>
      <c r="C102" s="5" t="str">
        <f>"2420210315"</f>
        <v>2420210315</v>
      </c>
      <c r="D102" s="5" t="str">
        <f t="shared" si="15"/>
        <v>103</v>
      </c>
      <c r="E102" s="5" t="str">
        <f>"15"</f>
        <v>15</v>
      </c>
      <c r="F102" s="6" t="s">
        <v>30</v>
      </c>
      <c r="G102" s="6">
        <v>80.5</v>
      </c>
      <c r="H102" s="7">
        <v>67.0833333333333</v>
      </c>
      <c r="I102" s="6">
        <v>100.5</v>
      </c>
      <c r="J102" s="7">
        <v>83.75</v>
      </c>
      <c r="K102" s="6"/>
      <c r="L102" s="8">
        <v>75.4166666666667</v>
      </c>
      <c r="M102" s="13">
        <v>77.92</v>
      </c>
      <c r="N102" s="13">
        <v>76.42</v>
      </c>
      <c r="O102" s="5"/>
      <c r="P102" s="10"/>
    </row>
    <row r="103" s="1" customFormat="1" ht="14.25" customHeight="1" spans="1:16">
      <c r="A103" s="3">
        <v>101</v>
      </c>
      <c r="B103" s="4" t="str">
        <f>"20240316"</f>
        <v>20240316</v>
      </c>
      <c r="C103" s="5" t="str">
        <f>"2420210524"</f>
        <v>2420210524</v>
      </c>
      <c r="D103" s="5" t="str">
        <f>"105"</f>
        <v>105</v>
      </c>
      <c r="E103" s="5" t="str">
        <f>"24"</f>
        <v>24</v>
      </c>
      <c r="F103" s="6" t="s">
        <v>31</v>
      </c>
      <c r="G103" s="6">
        <v>91.5</v>
      </c>
      <c r="H103" s="7">
        <v>76.25</v>
      </c>
      <c r="I103" s="6">
        <v>68.6</v>
      </c>
      <c r="J103" s="7">
        <v>57.1666666666667</v>
      </c>
      <c r="K103" s="6"/>
      <c r="L103" s="8">
        <v>66.7083333333333</v>
      </c>
      <c r="M103" s="13">
        <v>78.7</v>
      </c>
      <c r="N103" s="13">
        <v>71.51</v>
      </c>
      <c r="O103" s="5"/>
      <c r="P103" s="10"/>
    </row>
    <row r="104" s="1" customFormat="1" ht="14.25" customHeight="1" spans="1:16">
      <c r="A104" s="3">
        <v>102</v>
      </c>
      <c r="B104" s="4" t="str">
        <f>"20240316"</f>
        <v>20240316</v>
      </c>
      <c r="C104" s="5" t="str">
        <f>"2420210514"</f>
        <v>2420210514</v>
      </c>
      <c r="D104" s="5" t="str">
        <f>"105"</f>
        <v>105</v>
      </c>
      <c r="E104" s="5" t="str">
        <f>"14"</f>
        <v>14</v>
      </c>
      <c r="F104" s="6" t="s">
        <v>31</v>
      </c>
      <c r="G104" s="6">
        <v>77.5</v>
      </c>
      <c r="H104" s="7">
        <v>64.5833333333333</v>
      </c>
      <c r="I104" s="6">
        <v>72.6</v>
      </c>
      <c r="J104" s="7">
        <v>60.5</v>
      </c>
      <c r="K104" s="6"/>
      <c r="L104" s="8">
        <v>62.5416666666667</v>
      </c>
      <c r="M104" s="13">
        <v>80.54</v>
      </c>
      <c r="N104" s="13">
        <v>69.74</v>
      </c>
      <c r="O104" s="5"/>
      <c r="P104" s="10"/>
    </row>
    <row r="105" s="1" customFormat="1" ht="14.25" customHeight="1" spans="1:16">
      <c r="A105" s="3">
        <v>103</v>
      </c>
      <c r="B105" s="4" t="str">
        <f>"20240317"</f>
        <v>20240317</v>
      </c>
      <c r="C105" s="5" t="str">
        <f>"2420210818"</f>
        <v>2420210818</v>
      </c>
      <c r="D105" s="5" t="str">
        <f>"108"</f>
        <v>108</v>
      </c>
      <c r="E105" s="5" t="str">
        <f>"18"</f>
        <v>18</v>
      </c>
      <c r="F105" s="6" t="s">
        <v>32</v>
      </c>
      <c r="G105" s="6">
        <v>86</v>
      </c>
      <c r="H105" s="7">
        <v>71.6666666666667</v>
      </c>
      <c r="I105" s="6">
        <v>95.5</v>
      </c>
      <c r="J105" s="7">
        <v>79.5833333333333</v>
      </c>
      <c r="K105" s="6"/>
      <c r="L105" s="8">
        <v>75.625</v>
      </c>
      <c r="M105" s="13">
        <v>84.56</v>
      </c>
      <c r="N105" s="13">
        <v>79.2</v>
      </c>
      <c r="O105" s="5"/>
      <c r="P105" s="10"/>
    </row>
    <row r="106" s="1" customFormat="1" ht="14.25" customHeight="1" spans="1:16">
      <c r="A106" s="3">
        <v>104</v>
      </c>
      <c r="B106" s="4" t="str">
        <f>"20240317"</f>
        <v>20240317</v>
      </c>
      <c r="C106" s="5" t="str">
        <f>"2420210809"</f>
        <v>2420210809</v>
      </c>
      <c r="D106" s="5" t="str">
        <f>"108"</f>
        <v>108</v>
      </c>
      <c r="E106" s="5" t="str">
        <f>"09"</f>
        <v>09</v>
      </c>
      <c r="F106" s="6" t="s">
        <v>32</v>
      </c>
      <c r="G106" s="6">
        <v>60.5</v>
      </c>
      <c r="H106" s="7">
        <v>50.4166666666667</v>
      </c>
      <c r="I106" s="6">
        <v>106.3</v>
      </c>
      <c r="J106" s="7">
        <v>88.5833333333333</v>
      </c>
      <c r="K106" s="6"/>
      <c r="L106" s="8">
        <v>69.5</v>
      </c>
      <c r="M106" s="13">
        <v>86.78</v>
      </c>
      <c r="N106" s="13">
        <v>76.41</v>
      </c>
      <c r="O106" s="5"/>
      <c r="P106" s="10"/>
    </row>
    <row r="107" s="1" customFormat="1" ht="14.25" customHeight="1" spans="1:16">
      <c r="A107" s="3">
        <v>105</v>
      </c>
      <c r="B107" s="4" t="s">
        <v>33</v>
      </c>
      <c r="C107" s="5" t="s">
        <v>34</v>
      </c>
      <c r="D107" s="5" t="s">
        <v>35</v>
      </c>
      <c r="E107" s="5" t="s">
        <v>36</v>
      </c>
      <c r="F107" s="6" t="s">
        <v>32</v>
      </c>
      <c r="G107" s="6">
        <v>70.5</v>
      </c>
      <c r="H107" s="7">
        <v>58.75</v>
      </c>
      <c r="I107" s="6">
        <v>88.6</v>
      </c>
      <c r="J107" s="7">
        <v>73.8333333333333</v>
      </c>
      <c r="K107" s="6"/>
      <c r="L107" s="8">
        <v>66.2916666666667</v>
      </c>
      <c r="M107" s="13">
        <v>84.04</v>
      </c>
      <c r="N107" s="13">
        <v>73.39</v>
      </c>
      <c r="O107" s="5"/>
      <c r="P107" s="10"/>
    </row>
    <row r="108" s="1" customFormat="1" ht="14.25" customHeight="1" spans="1:16">
      <c r="A108" s="3">
        <v>106</v>
      </c>
      <c r="B108" s="4" t="str">
        <f t="shared" ref="B108:B110" si="16">"20240318"</f>
        <v>20240318</v>
      </c>
      <c r="C108" s="5" t="str">
        <f>"2420211220"</f>
        <v>2420211220</v>
      </c>
      <c r="D108" s="5" t="str">
        <f>"112"</f>
        <v>112</v>
      </c>
      <c r="E108" s="5" t="str">
        <f>"20"</f>
        <v>20</v>
      </c>
      <c r="F108" s="6" t="s">
        <v>37</v>
      </c>
      <c r="G108" s="6">
        <v>98</v>
      </c>
      <c r="H108" s="7">
        <v>81.6666666666667</v>
      </c>
      <c r="I108" s="6">
        <v>90.5</v>
      </c>
      <c r="J108" s="7">
        <v>75.4166666666667</v>
      </c>
      <c r="K108" s="6"/>
      <c r="L108" s="8">
        <v>78.5416666666667</v>
      </c>
      <c r="M108" s="13">
        <v>84.2</v>
      </c>
      <c r="N108" s="13">
        <v>80.81</v>
      </c>
      <c r="O108" s="5"/>
      <c r="P108" s="10"/>
    </row>
    <row r="109" s="1" customFormat="1" ht="14.25" customHeight="1" spans="1:16">
      <c r="A109" s="3">
        <v>107</v>
      </c>
      <c r="B109" s="4" t="str">
        <f t="shared" si="16"/>
        <v>20240318</v>
      </c>
      <c r="C109" s="5" t="str">
        <f>"2420211224"</f>
        <v>2420211224</v>
      </c>
      <c r="D109" s="5" t="str">
        <f>"112"</f>
        <v>112</v>
      </c>
      <c r="E109" s="5" t="str">
        <f>"24"</f>
        <v>24</v>
      </c>
      <c r="F109" s="6" t="s">
        <v>37</v>
      </c>
      <c r="G109" s="6">
        <v>94</v>
      </c>
      <c r="H109" s="7">
        <v>78.3333333333333</v>
      </c>
      <c r="I109" s="6">
        <v>96.5</v>
      </c>
      <c r="J109" s="7">
        <v>80.4166666666667</v>
      </c>
      <c r="K109" s="6"/>
      <c r="L109" s="8">
        <v>79.375</v>
      </c>
      <c r="M109" s="13">
        <v>78.4</v>
      </c>
      <c r="N109" s="13">
        <v>78.99</v>
      </c>
      <c r="O109" s="5"/>
      <c r="P109" s="10"/>
    </row>
    <row r="110" s="1" customFormat="1" ht="14.25" customHeight="1" spans="1:16">
      <c r="A110" s="3">
        <v>108</v>
      </c>
      <c r="B110" s="4" t="str">
        <f t="shared" si="16"/>
        <v>20240318</v>
      </c>
      <c r="C110" s="5" t="str">
        <f>"2420211513"</f>
        <v>2420211513</v>
      </c>
      <c r="D110" s="5" t="str">
        <f>"115"</f>
        <v>115</v>
      </c>
      <c r="E110" s="5" t="str">
        <f>"13"</f>
        <v>13</v>
      </c>
      <c r="F110" s="6" t="s">
        <v>37</v>
      </c>
      <c r="G110" s="6">
        <v>87</v>
      </c>
      <c r="H110" s="7">
        <v>72.5</v>
      </c>
      <c r="I110" s="6">
        <v>97.5</v>
      </c>
      <c r="J110" s="7">
        <v>81.25</v>
      </c>
      <c r="K110" s="6"/>
      <c r="L110" s="8">
        <v>76.875</v>
      </c>
      <c r="M110" s="13">
        <v>82</v>
      </c>
      <c r="N110" s="13">
        <v>78.93</v>
      </c>
      <c r="O110" s="5"/>
      <c r="P110" s="10"/>
    </row>
    <row r="111" s="1" customFormat="1" ht="14.25" customHeight="1" spans="1:16">
      <c r="A111" s="3">
        <v>109</v>
      </c>
      <c r="B111" s="4" t="str">
        <f>"20240319"</f>
        <v>20240319</v>
      </c>
      <c r="C111" s="5" t="str">
        <f>"2420211702"</f>
        <v>2420211702</v>
      </c>
      <c r="D111" s="5" t="str">
        <f>"117"</f>
        <v>117</v>
      </c>
      <c r="E111" s="5" t="str">
        <f>"02"</f>
        <v>02</v>
      </c>
      <c r="F111" s="6" t="s">
        <v>38</v>
      </c>
      <c r="G111" s="6">
        <v>67.5</v>
      </c>
      <c r="H111" s="7">
        <v>56.25</v>
      </c>
      <c r="I111" s="6">
        <v>79.5</v>
      </c>
      <c r="J111" s="7">
        <v>66.25</v>
      </c>
      <c r="K111" s="6"/>
      <c r="L111" s="8">
        <v>61.25</v>
      </c>
      <c r="M111" s="13">
        <v>85.58</v>
      </c>
      <c r="N111" s="13">
        <v>70.98</v>
      </c>
      <c r="O111" s="5"/>
      <c r="P111" s="10"/>
    </row>
    <row r="112" s="1" customFormat="1" ht="14.25" customHeight="1" spans="1:16">
      <c r="A112" s="3">
        <v>110</v>
      </c>
      <c r="B112" s="4" t="str">
        <f>"20240320"</f>
        <v>20240320</v>
      </c>
      <c r="C112" s="5" t="str">
        <f>"2420311826"</f>
        <v>2420311826</v>
      </c>
      <c r="D112" s="5" t="str">
        <f>"118"</f>
        <v>118</v>
      </c>
      <c r="E112" s="5" t="str">
        <f>"26"</f>
        <v>26</v>
      </c>
      <c r="F112" s="6" t="s">
        <v>39</v>
      </c>
      <c r="G112" s="6">
        <v>65.5</v>
      </c>
      <c r="H112" s="7">
        <v>54.5833333333333</v>
      </c>
      <c r="I112" s="6">
        <v>93</v>
      </c>
      <c r="J112" s="7">
        <v>77.5</v>
      </c>
      <c r="K112" s="6"/>
      <c r="L112" s="8">
        <v>66.0416666666667</v>
      </c>
      <c r="M112" s="13">
        <v>85.5</v>
      </c>
      <c r="N112" s="13">
        <v>73.83</v>
      </c>
      <c r="O112" s="5"/>
      <c r="P112" s="10"/>
    </row>
    <row r="113" s="1" customFormat="1" ht="14.25" customHeight="1" spans="1:16">
      <c r="A113" s="3">
        <v>111</v>
      </c>
      <c r="B113" s="4" t="s">
        <v>40</v>
      </c>
      <c r="C113" s="5" t="s">
        <v>41</v>
      </c>
      <c r="D113" s="5" t="s">
        <v>42</v>
      </c>
      <c r="E113" s="5" t="s">
        <v>43</v>
      </c>
      <c r="F113" s="6" t="s">
        <v>39</v>
      </c>
      <c r="G113" s="6">
        <v>73</v>
      </c>
      <c r="H113" s="7">
        <v>60.8333333333333</v>
      </c>
      <c r="I113" s="6">
        <v>79</v>
      </c>
      <c r="J113" s="7">
        <v>65.8333333333333</v>
      </c>
      <c r="K113" s="6"/>
      <c r="L113" s="8">
        <v>63.3333333333333</v>
      </c>
      <c r="M113" s="13">
        <v>85.4</v>
      </c>
      <c r="N113" s="13">
        <v>72.16</v>
      </c>
      <c r="O113" s="5"/>
      <c r="P113" s="10"/>
    </row>
    <row r="114" s="1" customFormat="1" ht="14.25" customHeight="1" spans="1:16">
      <c r="A114" s="3">
        <v>112</v>
      </c>
      <c r="B114" s="4" t="str">
        <f>"20240321"</f>
        <v>20240321</v>
      </c>
      <c r="C114" s="5" t="str">
        <f>"2420312029"</f>
        <v>2420312029</v>
      </c>
      <c r="D114" s="5" t="str">
        <f>"120"</f>
        <v>120</v>
      </c>
      <c r="E114" s="5" t="str">
        <f>"29"</f>
        <v>29</v>
      </c>
      <c r="F114" s="6" t="s">
        <v>44</v>
      </c>
      <c r="G114" s="6">
        <v>89</v>
      </c>
      <c r="H114" s="7">
        <v>74.1666666666667</v>
      </c>
      <c r="I114" s="6">
        <v>81</v>
      </c>
      <c r="J114" s="7">
        <v>67.5</v>
      </c>
      <c r="K114" s="6"/>
      <c r="L114" s="8">
        <v>70.8333333333333</v>
      </c>
      <c r="M114" s="13">
        <v>80.4</v>
      </c>
      <c r="N114" s="13">
        <v>74.66</v>
      </c>
      <c r="O114" s="5"/>
      <c r="P114" s="10"/>
    </row>
    <row r="115" s="1" customFormat="1" ht="14.25" customHeight="1" spans="1:16">
      <c r="A115" s="3">
        <v>113</v>
      </c>
      <c r="B115" s="4" t="str">
        <f>"20240321"</f>
        <v>20240321</v>
      </c>
      <c r="C115" s="5" t="str">
        <f>"2420312021"</f>
        <v>2420312021</v>
      </c>
      <c r="D115" s="5" t="str">
        <f>"120"</f>
        <v>120</v>
      </c>
      <c r="E115" s="5" t="str">
        <f>"21"</f>
        <v>21</v>
      </c>
      <c r="F115" s="6" t="s">
        <v>44</v>
      </c>
      <c r="G115" s="6">
        <v>75</v>
      </c>
      <c r="H115" s="7">
        <v>62.5</v>
      </c>
      <c r="I115" s="6">
        <v>79.5</v>
      </c>
      <c r="J115" s="7">
        <v>66.25</v>
      </c>
      <c r="K115" s="6"/>
      <c r="L115" s="8">
        <v>64.375</v>
      </c>
      <c r="M115" s="13">
        <v>78.4</v>
      </c>
      <c r="N115" s="13">
        <v>69.99</v>
      </c>
      <c r="O115" s="5"/>
      <c r="P115" s="10"/>
    </row>
    <row r="116" s="1" customFormat="1" ht="14.25" customHeight="1" spans="1:16">
      <c r="A116" s="3">
        <v>114</v>
      </c>
      <c r="B116" s="4" t="str">
        <f>"20240322"</f>
        <v>20240322</v>
      </c>
      <c r="C116" s="5" t="str">
        <f>"2420312212"</f>
        <v>2420312212</v>
      </c>
      <c r="D116" s="5" t="str">
        <f>"122"</f>
        <v>122</v>
      </c>
      <c r="E116" s="5" t="str">
        <f>"12"</f>
        <v>12</v>
      </c>
      <c r="F116" s="6" t="s">
        <v>45</v>
      </c>
      <c r="G116" s="6">
        <v>77.5</v>
      </c>
      <c r="H116" s="7">
        <v>64.5833333333333</v>
      </c>
      <c r="I116" s="6">
        <v>77</v>
      </c>
      <c r="J116" s="7">
        <v>64.1666666666667</v>
      </c>
      <c r="K116" s="6"/>
      <c r="L116" s="8">
        <v>64.375</v>
      </c>
      <c r="M116" s="13">
        <v>85.3</v>
      </c>
      <c r="N116" s="13">
        <v>72.75</v>
      </c>
      <c r="O116" s="5"/>
      <c r="P116" s="10"/>
    </row>
    <row r="117" s="1" customFormat="1" ht="14.25" customHeight="1" spans="1:16">
      <c r="A117" s="3">
        <v>115</v>
      </c>
      <c r="B117" s="4" t="str">
        <f>"20240323"</f>
        <v>20240323</v>
      </c>
      <c r="C117" s="5" t="str">
        <f>"2420312404"</f>
        <v>2420312404</v>
      </c>
      <c r="D117" s="5" t="str">
        <f>"124"</f>
        <v>124</v>
      </c>
      <c r="E117" s="5" t="str">
        <f>"04"</f>
        <v>04</v>
      </c>
      <c r="F117" s="6" t="s">
        <v>46</v>
      </c>
      <c r="G117" s="6">
        <v>67</v>
      </c>
      <c r="H117" s="7">
        <v>55.8333333333333</v>
      </c>
      <c r="I117" s="6">
        <v>87</v>
      </c>
      <c r="J117" s="7">
        <v>72.5</v>
      </c>
      <c r="K117" s="6"/>
      <c r="L117" s="8">
        <v>64.1666666666667</v>
      </c>
      <c r="M117" s="13">
        <v>80.8</v>
      </c>
      <c r="N117" s="13">
        <v>70.82</v>
      </c>
      <c r="O117" s="5"/>
      <c r="P117" s="10"/>
    </row>
    <row r="118" s="1" customFormat="1" ht="14.25" customHeight="1" spans="1:16">
      <c r="A118" s="3">
        <v>116</v>
      </c>
      <c r="B118" s="4" t="str">
        <f>"20240324"</f>
        <v>20240324</v>
      </c>
      <c r="C118" s="5" t="str">
        <f>"2420312614"</f>
        <v>2420312614</v>
      </c>
      <c r="D118" s="5" t="str">
        <f>"126"</f>
        <v>126</v>
      </c>
      <c r="E118" s="5" t="str">
        <f>"14"</f>
        <v>14</v>
      </c>
      <c r="F118" s="6" t="s">
        <v>47</v>
      </c>
      <c r="G118" s="6">
        <v>92</v>
      </c>
      <c r="H118" s="7">
        <v>76.6666666666667</v>
      </c>
      <c r="I118" s="6">
        <v>70.3</v>
      </c>
      <c r="J118" s="7">
        <v>58.5833333333333</v>
      </c>
      <c r="K118" s="6"/>
      <c r="L118" s="8">
        <v>67.625</v>
      </c>
      <c r="M118" s="13">
        <v>81.32</v>
      </c>
      <c r="N118" s="13">
        <v>73.1</v>
      </c>
      <c r="O118" s="5"/>
      <c r="P118" s="10"/>
    </row>
    <row r="119" s="1" customFormat="1" ht="14.25" customHeight="1" spans="1:16">
      <c r="A119" s="3">
        <v>117</v>
      </c>
      <c r="B119" s="5" t="str">
        <f>"20240325"</f>
        <v>20240325</v>
      </c>
      <c r="C119" s="5" t="str">
        <f>"2410312407"</f>
        <v>2410312407</v>
      </c>
      <c r="D119" s="5" t="str">
        <f>"124"</f>
        <v>124</v>
      </c>
      <c r="E119" s="5" t="str">
        <f>"07"</f>
        <v>07</v>
      </c>
      <c r="F119" s="6" t="s">
        <v>48</v>
      </c>
      <c r="G119" s="6">
        <v>79</v>
      </c>
      <c r="H119" s="7">
        <v>65.8333333333333</v>
      </c>
      <c r="I119" s="6">
        <v>85.8</v>
      </c>
      <c r="J119" s="7">
        <v>71.5</v>
      </c>
      <c r="K119" s="6"/>
      <c r="L119" s="8">
        <v>68.6666666666667</v>
      </c>
      <c r="M119" s="13">
        <v>80.36</v>
      </c>
      <c r="N119" s="13">
        <v>73.34</v>
      </c>
      <c r="O119" s="5"/>
      <c r="P119" s="10"/>
    </row>
    <row r="120" s="1" customFormat="1" spans="17:17">
      <c r="Q120" s="1" t="s">
        <v>49</v>
      </c>
    </row>
  </sheetData>
  <mergeCells count="1">
    <mergeCell ref="A1:O1"/>
  </mergeCells>
  <conditionalFormatting sqref="C41">
    <cfRule type="expression" dxfId="0" priority="8">
      <formula>AND(SUMPRODUCT(IFERROR(1*(($C$41&amp;"x")=(C41&amp;"x")),0))&gt;1,NOT(ISBLANK(C41)))</formula>
    </cfRule>
  </conditionalFormatting>
  <conditionalFormatting sqref="C58">
    <cfRule type="expression" dxfId="0" priority="6">
      <formula>AND(SUMPRODUCT(IFERROR(1*(($C$58&amp;"x")=(C58&amp;"x")),0))&gt;1,NOT(ISBLANK(C58)))</formula>
    </cfRule>
  </conditionalFormatting>
  <conditionalFormatting sqref="C68">
    <cfRule type="expression" dxfId="0" priority="7">
      <formula>AND(SUMPRODUCT(IFERROR(1*(($C$68&amp;"x")=(C68&amp;"x")),0))&gt;1,NOT(ISBLANK(C68)))</formula>
    </cfRule>
  </conditionalFormatting>
  <conditionalFormatting sqref="C74">
    <cfRule type="expression" dxfId="0" priority="5">
      <formula>AND(SUMPRODUCT(IFERROR(1*(($C$74&amp;"x")=(C74&amp;"x")),0))&gt;1,NOT(ISBLANK(C74)))</formula>
    </cfRule>
  </conditionalFormatting>
  <conditionalFormatting sqref="C84">
    <cfRule type="expression" dxfId="0" priority="4">
      <formula>AND(SUMPRODUCT(IFERROR(1*(($C$84&amp;"x")=(C84&amp;"x")),0))&gt;1,NOT(ISBLANK(C84)))</formula>
    </cfRule>
  </conditionalFormatting>
  <conditionalFormatting sqref="C103">
    <cfRule type="expression" dxfId="0" priority="18">
      <formula>AND(SUMPRODUCT(IFERROR(1*(($C$103&amp;"x")=(C103&amp;"x")),0))&gt;1,NOT(ISBLANK(C103)))</formula>
    </cfRule>
  </conditionalFormatting>
  <conditionalFormatting sqref="C104">
    <cfRule type="expression" dxfId="0" priority="2">
      <formula>AND(SUMPRODUCT(IFERROR(1*(($C$104&amp;"x")=(C104&amp;"x")),0))&gt;1,NOT(ISBLANK(C104)))</formula>
    </cfRule>
  </conditionalFormatting>
  <conditionalFormatting sqref="C111">
    <cfRule type="expression" dxfId="0" priority="15">
      <formula>AND(SUMPRODUCT(IFERROR(1*(($C$111&amp;"x")=(C111&amp;"x")),0))&gt;1,NOT(ISBLANK(C111)))</formula>
    </cfRule>
  </conditionalFormatting>
  <conditionalFormatting sqref="C114">
    <cfRule type="expression" dxfId="0" priority="13">
      <formula>AND(SUMPRODUCT(IFERROR(1*(($C$114&amp;"x")=(C114&amp;"x")),0))&gt;1,NOT(ISBLANK(C114)))</formula>
    </cfRule>
  </conditionalFormatting>
  <conditionalFormatting sqref="C115">
    <cfRule type="expression" dxfId="0" priority="1">
      <formula>AND(SUMPRODUCT(IFERROR(1*(($C$115&amp;"x")=(C115&amp;"x")),0))&gt;1,NOT(ISBLANK(C115)))</formula>
    </cfRule>
  </conditionalFormatting>
  <conditionalFormatting sqref="C116">
    <cfRule type="expression" dxfId="0" priority="12">
      <formula>AND(SUMPRODUCT(IFERROR(1*(($C$116&amp;"x")=(C116&amp;"x")),0))&gt;1,NOT(ISBLANK(C116)))</formula>
    </cfRule>
  </conditionalFormatting>
  <conditionalFormatting sqref="C117">
    <cfRule type="expression" dxfId="0" priority="11">
      <formula>AND(SUMPRODUCT(IFERROR(1*(($C$117&amp;"x")=(C117&amp;"x")),0))&gt;1,NOT(ISBLANK(C117)))</formula>
    </cfRule>
  </conditionalFormatting>
  <conditionalFormatting sqref="C118">
    <cfRule type="expression" dxfId="0" priority="10">
      <formula>AND(SUMPRODUCT(IFERROR(1*(($C$118&amp;"x")=(C118&amp;"x")),0))&gt;1,NOT(ISBLANK(C118)))</formula>
    </cfRule>
  </conditionalFormatting>
  <conditionalFormatting sqref="C119">
    <cfRule type="expression" dxfId="0" priority="9">
      <formula>AND(SUMPRODUCT(IFERROR(1*(($C$119&amp;"x")=(C119&amp;"x")),0))&gt;1,NOT(ISBLANK(C119)))</formula>
    </cfRule>
  </conditionalFormatting>
  <conditionalFormatting sqref="C2:C13">
    <cfRule type="expression" dxfId="0" priority="33">
      <formula>AND(SUMPRODUCT(IFERROR(1*(($C$2:$C$13&amp;"x")=(C2&amp;"x")),0))&gt;1,NOT(ISBLANK(C2)))</formula>
    </cfRule>
  </conditionalFormatting>
  <conditionalFormatting sqref="C14:C23">
    <cfRule type="expression" dxfId="0" priority="32">
      <formula>AND(SUMPRODUCT(IFERROR(1*(($C$14:$C$23&amp;"x")=(C14&amp;"x")),0))&gt;1,NOT(ISBLANK(C14)))</formula>
    </cfRule>
  </conditionalFormatting>
  <conditionalFormatting sqref="C24:C26">
    <cfRule type="expression" dxfId="0" priority="31">
      <formula>AND(SUMPRODUCT(IFERROR(1*(($C$24:$C$26&amp;"x")=(C24&amp;"x")),0))&gt;1,NOT(ISBLANK(C24)))</formula>
    </cfRule>
  </conditionalFormatting>
  <conditionalFormatting sqref="C27:C28">
    <cfRule type="expression" dxfId="0" priority="30">
      <formula>AND(SUMPRODUCT(IFERROR(1*(($C$27:$C$28&amp;"x")=(C27&amp;"x")),0))&gt;1,NOT(ISBLANK(C27)))</formula>
    </cfRule>
  </conditionalFormatting>
  <conditionalFormatting sqref="C29:C32">
    <cfRule type="expression" dxfId="0" priority="29">
      <formula>AND(SUMPRODUCT(IFERROR(1*(($C$29:$C$32&amp;"x")=(C29&amp;"x")),0))&gt;1,NOT(ISBLANK(C29)))</formula>
    </cfRule>
  </conditionalFormatting>
  <conditionalFormatting sqref="C33:C40">
    <cfRule type="expression" dxfId="0" priority="28">
      <formula>AND(SUMPRODUCT(IFERROR(1*(($C$33:$C$40&amp;"x")=(C33&amp;"x")),0))&gt;1,NOT(ISBLANK(C33)))</formula>
    </cfRule>
  </conditionalFormatting>
  <conditionalFormatting sqref="C42:C50">
    <cfRule type="expression" dxfId="0" priority="27">
      <formula>AND(SUMPRODUCT(IFERROR(1*(($C$116:$C$140&amp;"x")=(C42&amp;"x")),0))&gt;1,NOT(ISBLANK(C42)))</formula>
    </cfRule>
  </conditionalFormatting>
  <conditionalFormatting sqref="C51:C57">
    <cfRule type="expression" dxfId="0" priority="26">
      <formula>AND(SUMPRODUCT(IFERROR(1*(($C$51:$C$57&amp;"x")=(C51&amp;"x")),0))&gt;1,NOT(ISBLANK(C51)))</formula>
    </cfRule>
  </conditionalFormatting>
  <conditionalFormatting sqref="C59:C67">
    <cfRule type="expression" dxfId="0" priority="25">
      <formula>AND(SUMPRODUCT(IFERROR(1*(($C$59:$C$67&amp;"x")=(C59&amp;"x")),0))&gt;1,NOT(ISBLANK(C59)))</formula>
    </cfRule>
  </conditionalFormatting>
  <conditionalFormatting sqref="C69:C73">
    <cfRule type="expression" dxfId="0" priority="24">
      <formula>AND(SUMPRODUCT(IFERROR(1*(($C$69:$C$73&amp;"x")=(C69&amp;"x")),0))&gt;1,NOT(ISBLANK(C69)))</formula>
    </cfRule>
  </conditionalFormatting>
  <conditionalFormatting sqref="C75:C81">
    <cfRule type="expression" dxfId="0" priority="23">
      <formula>AND(SUMPRODUCT(IFERROR(1*(($C$75:$C$81&amp;"x")=(C75&amp;"x")),0))&gt;1,NOT(ISBLANK(C75)))</formula>
    </cfRule>
  </conditionalFormatting>
  <conditionalFormatting sqref="C82:C83">
    <cfRule type="expression" dxfId="0" priority="22">
      <formula>AND(SUMPRODUCT(IFERROR(1*(($C$82:$C$83&amp;"x")=(C82&amp;"x")),0))&gt;1,NOT(ISBLANK(C82)))</formula>
    </cfRule>
  </conditionalFormatting>
  <conditionalFormatting sqref="C85:C88">
    <cfRule type="expression" dxfId="0" priority="21">
      <formula>AND(SUMPRODUCT(IFERROR(1*(($C$85:$C$88&amp;"x")=(C85&amp;"x")),0))&gt;1,NOT(ISBLANK(C85)))</formula>
    </cfRule>
  </conditionalFormatting>
  <conditionalFormatting sqref="C89:C90">
    <cfRule type="expression" dxfId="0" priority="3">
      <formula>AND(SUMPRODUCT(IFERROR(1*(($C$89:$C$90&amp;"x")=(C89&amp;"x")),0))&gt;1,NOT(ISBLANK(C89)))</formula>
    </cfRule>
  </conditionalFormatting>
  <conditionalFormatting sqref="C91:C96">
    <cfRule type="expression" dxfId="0" priority="20">
      <formula>AND(SUMPRODUCT(IFERROR(1*(($C$91:$C$96&amp;"x")=(C91&amp;"x")),0))&gt;1,NOT(ISBLANK(C91)))</formula>
    </cfRule>
  </conditionalFormatting>
  <conditionalFormatting sqref="C97:C102">
    <cfRule type="expression" dxfId="0" priority="19">
      <formula>AND(SUMPRODUCT(IFERROR(1*(($C$97:$C$102&amp;"x")=(C97&amp;"x")),0))&gt;1,NOT(ISBLANK(C97)))</formula>
    </cfRule>
  </conditionalFormatting>
  <conditionalFormatting sqref="C105:C107">
    <cfRule type="expression" dxfId="0" priority="17">
      <formula>AND(SUMPRODUCT(IFERROR(1*(($C$105:$C$107&amp;"x")=(C105&amp;"x")),0))&gt;1,NOT(ISBLANK(C105)))</formula>
    </cfRule>
  </conditionalFormatting>
  <conditionalFormatting sqref="C108:C110">
    <cfRule type="expression" dxfId="0" priority="16">
      <formula>AND(SUMPRODUCT(IFERROR(1*(($C$108:$C$110&amp;"x")=(C108&amp;"x")),0))&gt;1,NOT(ISBLANK(C108)))</formula>
    </cfRule>
  </conditionalFormatting>
  <conditionalFormatting sqref="C112:C113">
    <cfRule type="expression" dxfId="0" priority="14">
      <formula>AND(SUMPRODUCT(IFERROR(1*(($C$112:$C$113&amp;"x")=(C112&amp;"x")),0))&gt;1,NOT(ISBLANK(C112)))</formula>
    </cfRule>
  </conditionalFormatting>
  <pageMargins left="0.118055555555556" right="0.393055555555556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考察名单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武力</cp:lastModifiedBy>
  <dcterms:created xsi:type="dcterms:W3CDTF">2024-08-12T07:50:00Z</dcterms:created>
  <dcterms:modified xsi:type="dcterms:W3CDTF">2024-09-06T02:13:43Z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72EFF968673A4559893F2F1349D18FBA_13</vt:lpwstr>
  </property>
  <property fmtid="{D5CDD505-2E9C-101B-9397-08002B2CF9AE}" pid="3" name="KSOProductBuildVer">
    <vt:lpwstr>2052-12.1.0.17827</vt:lpwstr>
  </property>
</Properties>
</file>