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Sheet1!$B$2:$H$376</definedName>
  </definedNames>
  <calcPr calcId="144525"/>
</workbook>
</file>

<file path=xl/sharedStrings.xml><?xml version="1.0" encoding="utf-8"?>
<sst xmlns="http://schemas.openxmlformats.org/spreadsheetml/2006/main" count="8" uniqueCount="8">
  <si>
    <t>利辛县2022年度中小学新任教师公开招聘拟参加现场资格复审人员名单</t>
  </si>
  <si>
    <t>序号</t>
  </si>
  <si>
    <t>姓名</t>
  </si>
  <si>
    <t>准考证号</t>
  </si>
  <si>
    <t>岗位代码</t>
  </si>
  <si>
    <t>教育综合</t>
  </si>
  <si>
    <t>学科专业</t>
  </si>
  <si>
    <t>笔试成绩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</si>
</sst>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6"/>
  <sheetViews>
    <sheetView tabSelected="1" topLeftCell="A371" workbookViewId="0">
      <selection activeCell="J6" sqref="J6"/>
    </sheetView>
  </sheetViews>
  <sheetFormatPr defaultColWidth="9" defaultRowHeight="13.5" outlineLevelCol="7"/>
  <cols>
    <col min="1" max="1" width="8.125" style="1" customWidth="1"/>
    <col min="2" max="3" width="13.5" style="1" customWidth="1"/>
    <col min="4" max="4" width="18.375" style="1" customWidth="1"/>
    <col min="5" max="5" width="14.5" style="1" customWidth="1"/>
    <col min="6" max="6" width="13" style="1" customWidth="1"/>
    <col min="7" max="7" width="11.375" style="1" customWidth="1"/>
    <col min="8" max="8" width="13.75" style="1" customWidth="1"/>
    <col min="9" max="16384" width="9" style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/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20" customHeight="1" spans="1:8">
      <c r="A3" s="4">
        <v>1</v>
      </c>
      <c r="B3" s="5" t="str">
        <f>"白淼"</f>
        <v>白淼</v>
      </c>
      <c r="C3" s="5"/>
      <c r="D3" s="5" t="str">
        <f>"20228022527"</f>
        <v>20228022527</v>
      </c>
      <c r="E3" s="5" t="str">
        <f t="shared" ref="E3:E8" si="0">"20220101"</f>
        <v>20220101</v>
      </c>
      <c r="F3" s="6">
        <v>95.33</v>
      </c>
      <c r="G3" s="6">
        <v>97.3</v>
      </c>
      <c r="H3" s="6">
        <v>96.51</v>
      </c>
    </row>
    <row r="4" ht="20" customHeight="1" spans="1:8">
      <c r="A4" s="4">
        <v>2</v>
      </c>
      <c r="B4" s="5" t="str">
        <f>"邵荣家"</f>
        <v>邵荣家</v>
      </c>
      <c r="C4" s="5"/>
      <c r="D4" s="5" t="str">
        <f>"20228022525"</f>
        <v>20228022525</v>
      </c>
      <c r="E4" s="5" t="str">
        <f t="shared" si="0"/>
        <v>20220101</v>
      </c>
      <c r="F4" s="6">
        <v>97.83</v>
      </c>
      <c r="G4" s="6">
        <v>95.6</v>
      </c>
      <c r="H4" s="6">
        <v>96.49</v>
      </c>
    </row>
    <row r="5" ht="20" customHeight="1" spans="1:8">
      <c r="A5" s="4">
        <v>3</v>
      </c>
      <c r="B5" s="5" t="str">
        <f>"李雪娇"</f>
        <v>李雪娇</v>
      </c>
      <c r="C5" s="5"/>
      <c r="D5" s="5" t="str">
        <f>"20228022508"</f>
        <v>20228022508</v>
      </c>
      <c r="E5" s="5" t="str">
        <f t="shared" si="0"/>
        <v>20220101</v>
      </c>
      <c r="F5" s="6">
        <v>89.24</v>
      </c>
      <c r="G5" s="6">
        <v>98.1</v>
      </c>
      <c r="H5" s="6">
        <v>94.56</v>
      </c>
    </row>
    <row r="6" ht="20" customHeight="1" spans="1:8">
      <c r="A6" s="4">
        <v>4</v>
      </c>
      <c r="B6" s="5" t="str">
        <f>"吴菊菊"</f>
        <v>吴菊菊</v>
      </c>
      <c r="C6" s="5"/>
      <c r="D6" s="5" t="str">
        <f>"20228022602"</f>
        <v>20228022602</v>
      </c>
      <c r="E6" s="5" t="str">
        <f t="shared" si="0"/>
        <v>20220101</v>
      </c>
      <c r="F6" s="6">
        <v>93.89</v>
      </c>
      <c r="G6" s="6">
        <v>90.9</v>
      </c>
      <c r="H6" s="6">
        <v>92.1</v>
      </c>
    </row>
    <row r="7" ht="20" customHeight="1" spans="1:8">
      <c r="A7" s="4">
        <v>5</v>
      </c>
      <c r="B7" s="5" t="str">
        <f>"陈婷"</f>
        <v>陈婷</v>
      </c>
      <c r="C7" s="5"/>
      <c r="D7" s="5" t="str">
        <f>"20228022528"</f>
        <v>20228022528</v>
      </c>
      <c r="E7" s="5" t="str">
        <f t="shared" si="0"/>
        <v>20220101</v>
      </c>
      <c r="F7" s="6">
        <v>85.25</v>
      </c>
      <c r="G7" s="6">
        <v>96.5</v>
      </c>
      <c r="H7" s="6">
        <v>92</v>
      </c>
    </row>
    <row r="8" ht="20" customHeight="1" spans="1:8">
      <c r="A8" s="4">
        <v>6</v>
      </c>
      <c r="B8" s="5" t="str">
        <f>"邵玲玲"</f>
        <v>邵玲玲</v>
      </c>
      <c r="C8" s="5"/>
      <c r="D8" s="5" t="str">
        <f>"20228022603"</f>
        <v>20228022603</v>
      </c>
      <c r="E8" s="5" t="str">
        <f t="shared" si="0"/>
        <v>20220101</v>
      </c>
      <c r="F8" s="6">
        <v>82.13</v>
      </c>
      <c r="G8" s="6">
        <v>97.8</v>
      </c>
      <c r="H8" s="6">
        <v>91.53</v>
      </c>
    </row>
    <row r="9" ht="20" customHeight="1" spans="1:8">
      <c r="A9" s="4">
        <v>7</v>
      </c>
      <c r="B9" s="5" t="str">
        <f>"谭云杰"</f>
        <v>谭云杰</v>
      </c>
      <c r="C9" s="5"/>
      <c r="D9" s="5" t="str">
        <f>"20228023328"</f>
        <v>20228023328</v>
      </c>
      <c r="E9" s="5" t="str">
        <f t="shared" ref="E9:E72" si="1">"20220102"</f>
        <v>20220102</v>
      </c>
      <c r="F9" s="6">
        <v>94.56</v>
      </c>
      <c r="G9" s="6">
        <v>89.8</v>
      </c>
      <c r="H9" s="6">
        <v>91.7</v>
      </c>
    </row>
    <row r="10" ht="20" customHeight="1" spans="1:8">
      <c r="A10" s="4">
        <v>8</v>
      </c>
      <c r="B10" s="5" t="str">
        <f>"刘鹏鹏"</f>
        <v>刘鹏鹏</v>
      </c>
      <c r="C10" s="5"/>
      <c r="D10" s="5" t="str">
        <f>"20228023601"</f>
        <v>20228023601</v>
      </c>
      <c r="E10" s="5" t="str">
        <f t="shared" si="1"/>
        <v>20220102</v>
      </c>
      <c r="F10" s="6">
        <v>87.76</v>
      </c>
      <c r="G10" s="6">
        <v>94.1</v>
      </c>
      <c r="H10" s="6">
        <v>91.56</v>
      </c>
    </row>
    <row r="11" ht="20" customHeight="1" spans="1:8">
      <c r="A11" s="4">
        <v>9</v>
      </c>
      <c r="B11" s="5" t="str">
        <f>"张鹏"</f>
        <v>张鹏</v>
      </c>
      <c r="C11" s="5"/>
      <c r="D11" s="5" t="str">
        <f>"20228023425"</f>
        <v>20228023425</v>
      </c>
      <c r="E11" s="5" t="str">
        <f t="shared" si="1"/>
        <v>20220102</v>
      </c>
      <c r="F11" s="6">
        <v>95.76</v>
      </c>
      <c r="G11" s="6">
        <v>88.2</v>
      </c>
      <c r="H11" s="6">
        <v>91.22</v>
      </c>
    </row>
    <row r="12" ht="20" customHeight="1" spans="1:8">
      <c r="A12" s="4">
        <v>10</v>
      </c>
      <c r="B12" s="5" t="str">
        <f>"吴玲"</f>
        <v>吴玲</v>
      </c>
      <c r="C12" s="5"/>
      <c r="D12" s="5" t="str">
        <f>"20228023527"</f>
        <v>20228023527</v>
      </c>
      <c r="E12" s="5" t="str">
        <f t="shared" si="1"/>
        <v>20220102</v>
      </c>
      <c r="F12" s="6">
        <v>79.04</v>
      </c>
      <c r="G12" s="6">
        <v>96.2</v>
      </c>
      <c r="H12" s="6">
        <v>89.34</v>
      </c>
    </row>
    <row r="13" ht="20" customHeight="1" spans="1:8">
      <c r="A13" s="4">
        <v>11</v>
      </c>
      <c r="B13" s="5" t="str">
        <f>"杨麒"</f>
        <v>杨麒</v>
      </c>
      <c r="C13" s="5"/>
      <c r="D13" s="5" t="str">
        <f>"20228023501"</f>
        <v>20228023501</v>
      </c>
      <c r="E13" s="5" t="str">
        <f t="shared" si="1"/>
        <v>20220102</v>
      </c>
      <c r="F13" s="6">
        <v>74.02</v>
      </c>
      <c r="G13" s="6">
        <v>97.7</v>
      </c>
      <c r="H13" s="6">
        <v>88.23</v>
      </c>
    </row>
    <row r="14" ht="20" customHeight="1" spans="1:8">
      <c r="A14" s="4">
        <v>12</v>
      </c>
      <c r="B14" s="5" t="str">
        <f>"孔圆圆"</f>
        <v>孔圆圆</v>
      </c>
      <c r="C14" s="5"/>
      <c r="D14" s="5" t="str">
        <f>"20228023403"</f>
        <v>20228023403</v>
      </c>
      <c r="E14" s="5" t="str">
        <f t="shared" si="1"/>
        <v>20220102</v>
      </c>
      <c r="F14" s="6">
        <v>87.46</v>
      </c>
      <c r="G14" s="6">
        <v>88</v>
      </c>
      <c r="H14" s="6">
        <v>87.78</v>
      </c>
    </row>
    <row r="15" ht="20" customHeight="1" spans="1:8">
      <c r="A15" s="4">
        <v>13</v>
      </c>
      <c r="B15" s="5" t="str">
        <f>"桑培培"</f>
        <v>桑培培</v>
      </c>
      <c r="C15" s="5"/>
      <c r="D15" s="5" t="str">
        <f>"20228023422"</f>
        <v>20228023422</v>
      </c>
      <c r="E15" s="5" t="str">
        <f t="shared" si="1"/>
        <v>20220102</v>
      </c>
      <c r="F15" s="6">
        <v>92.19</v>
      </c>
      <c r="G15" s="6">
        <v>84.1</v>
      </c>
      <c r="H15" s="6">
        <v>87.34</v>
      </c>
    </row>
    <row r="16" ht="20" customHeight="1" spans="1:8">
      <c r="A16" s="4">
        <v>14</v>
      </c>
      <c r="B16" s="5" t="str">
        <f>"于慧"</f>
        <v>于慧</v>
      </c>
      <c r="C16" s="5"/>
      <c r="D16" s="5" t="str">
        <f>"20228023509"</f>
        <v>20228023509</v>
      </c>
      <c r="E16" s="5" t="str">
        <f t="shared" si="1"/>
        <v>20220102</v>
      </c>
      <c r="F16" s="6">
        <v>80.88</v>
      </c>
      <c r="G16" s="6">
        <v>91.5</v>
      </c>
      <c r="H16" s="6">
        <v>87.25</v>
      </c>
    </row>
    <row r="17" ht="20" customHeight="1" spans="1:8">
      <c r="A17" s="4">
        <v>15</v>
      </c>
      <c r="B17" s="5" t="str">
        <f>"侯伟生"</f>
        <v>侯伟生</v>
      </c>
      <c r="C17" s="5"/>
      <c r="D17" s="5" t="str">
        <f>"20228023604"</f>
        <v>20228023604</v>
      </c>
      <c r="E17" s="5" t="str">
        <f t="shared" si="1"/>
        <v>20220102</v>
      </c>
      <c r="F17" s="6">
        <v>83.25</v>
      </c>
      <c r="G17" s="6">
        <v>89.7</v>
      </c>
      <c r="H17" s="6">
        <v>87.12</v>
      </c>
    </row>
    <row r="18" ht="20" customHeight="1" spans="1:8">
      <c r="A18" s="4">
        <v>16</v>
      </c>
      <c r="B18" s="5" t="str">
        <f>"黄庆标"</f>
        <v>黄庆标</v>
      </c>
      <c r="C18" s="5"/>
      <c r="D18" s="5" t="str">
        <f>"20228023329"</f>
        <v>20228023329</v>
      </c>
      <c r="E18" s="5" t="str">
        <f t="shared" si="1"/>
        <v>20220102</v>
      </c>
      <c r="F18" s="6">
        <v>82.48</v>
      </c>
      <c r="G18" s="6">
        <v>89.9</v>
      </c>
      <c r="H18" s="6">
        <v>86.93</v>
      </c>
    </row>
    <row r="19" ht="20" customHeight="1" spans="1:8">
      <c r="A19" s="4">
        <v>17</v>
      </c>
      <c r="B19" s="5" t="str">
        <f>"杨标"</f>
        <v>杨标</v>
      </c>
      <c r="C19" s="5"/>
      <c r="D19" s="5" t="str">
        <f>"20228023326"</f>
        <v>20228023326</v>
      </c>
      <c r="E19" s="5" t="str">
        <f t="shared" si="1"/>
        <v>20220102</v>
      </c>
      <c r="F19" s="6">
        <v>86.13</v>
      </c>
      <c r="G19" s="6">
        <v>87.1</v>
      </c>
      <c r="H19" s="6">
        <v>86.71</v>
      </c>
    </row>
    <row r="20" ht="20" customHeight="1" spans="1:8">
      <c r="A20" s="4">
        <v>18</v>
      </c>
      <c r="B20" s="5" t="str">
        <f>"任倩"</f>
        <v>任倩</v>
      </c>
      <c r="C20" s="5"/>
      <c r="D20" s="5" t="str">
        <f>"20228023410"</f>
        <v>20228023410</v>
      </c>
      <c r="E20" s="5" t="str">
        <f t="shared" si="1"/>
        <v>20220102</v>
      </c>
      <c r="F20" s="6">
        <v>84.93</v>
      </c>
      <c r="G20" s="6">
        <v>87.8</v>
      </c>
      <c r="H20" s="6">
        <v>86.65</v>
      </c>
    </row>
    <row r="21" ht="20" customHeight="1" spans="1:8">
      <c r="A21" s="4">
        <v>19</v>
      </c>
      <c r="B21" s="5" t="str">
        <f>"贾彦利"</f>
        <v>贾彦利</v>
      </c>
      <c r="C21" s="5"/>
      <c r="D21" s="5" t="str">
        <f>"20228023323"</f>
        <v>20228023323</v>
      </c>
      <c r="E21" s="5" t="str">
        <f t="shared" si="1"/>
        <v>20220102</v>
      </c>
      <c r="F21" s="6">
        <v>86.72</v>
      </c>
      <c r="G21" s="6">
        <v>86.2</v>
      </c>
      <c r="H21" s="6">
        <v>86.41</v>
      </c>
    </row>
    <row r="22" ht="20" customHeight="1" spans="1:8">
      <c r="A22" s="4">
        <v>20</v>
      </c>
      <c r="B22" s="5" t="str">
        <f>"孙强强"</f>
        <v>孙强强</v>
      </c>
      <c r="C22" s="5"/>
      <c r="D22" s="5" t="str">
        <f>"20228023423"</f>
        <v>20228023423</v>
      </c>
      <c r="E22" s="5" t="str">
        <f t="shared" si="1"/>
        <v>20220102</v>
      </c>
      <c r="F22" s="6">
        <v>78.57</v>
      </c>
      <c r="G22" s="6">
        <v>91.2</v>
      </c>
      <c r="H22" s="6">
        <v>86.15</v>
      </c>
    </row>
    <row r="23" ht="20" customHeight="1" spans="1:8">
      <c r="A23" s="4">
        <v>21</v>
      </c>
      <c r="B23" s="5" t="str">
        <f>"饶晨曦"</f>
        <v>饶晨曦</v>
      </c>
      <c r="C23" s="5"/>
      <c r="D23" s="5" t="str">
        <f>"20228024308"</f>
        <v>20228024308</v>
      </c>
      <c r="E23" s="5" t="str">
        <f t="shared" ref="E23:E38" si="2">"20220103"</f>
        <v>20220103</v>
      </c>
      <c r="F23" s="6">
        <v>97.98</v>
      </c>
      <c r="G23" s="6">
        <v>109.6</v>
      </c>
      <c r="H23" s="6">
        <v>104.95</v>
      </c>
    </row>
    <row r="24" ht="20" customHeight="1" spans="1:8">
      <c r="A24" s="4">
        <v>22</v>
      </c>
      <c r="B24" s="5" t="str">
        <f>"王奇"</f>
        <v>王奇</v>
      </c>
      <c r="C24" s="5"/>
      <c r="D24" s="5" t="str">
        <f>"20228024501"</f>
        <v>20228024501</v>
      </c>
      <c r="E24" s="5" t="str">
        <f t="shared" si="2"/>
        <v>20220103</v>
      </c>
      <c r="F24" s="6">
        <v>98.98</v>
      </c>
      <c r="G24" s="6">
        <v>108.7</v>
      </c>
      <c r="H24" s="6">
        <v>104.81</v>
      </c>
    </row>
    <row r="25" ht="20" customHeight="1" spans="1:8">
      <c r="A25" s="4">
        <v>23</v>
      </c>
      <c r="B25" s="5" t="str">
        <f>"李超楠 "</f>
        <v>李超楠 </v>
      </c>
      <c r="C25" s="5"/>
      <c r="D25" s="5" t="str">
        <f>"20228024413"</f>
        <v>20228024413</v>
      </c>
      <c r="E25" s="5" t="str">
        <f t="shared" si="2"/>
        <v>20220103</v>
      </c>
      <c r="F25" s="6">
        <v>97.38</v>
      </c>
      <c r="G25" s="6">
        <v>107.8</v>
      </c>
      <c r="H25" s="6">
        <v>103.63</v>
      </c>
    </row>
    <row r="26" ht="20" customHeight="1" spans="1:8">
      <c r="A26" s="4">
        <v>24</v>
      </c>
      <c r="B26" s="5" t="str">
        <f>"吴兰"</f>
        <v>吴兰</v>
      </c>
      <c r="C26" s="5"/>
      <c r="D26" s="5" t="str">
        <f>"20228024513"</f>
        <v>20228024513</v>
      </c>
      <c r="E26" s="5" t="str">
        <f t="shared" si="2"/>
        <v>20220103</v>
      </c>
      <c r="F26" s="6">
        <v>100.02</v>
      </c>
      <c r="G26" s="6">
        <v>106</v>
      </c>
      <c r="H26" s="6">
        <v>103.61</v>
      </c>
    </row>
    <row r="27" ht="20" customHeight="1" spans="1:8">
      <c r="A27" s="4">
        <v>25</v>
      </c>
      <c r="B27" s="5" t="str">
        <f>"王楠楠"</f>
        <v>王楠楠</v>
      </c>
      <c r="C27" s="5"/>
      <c r="D27" s="5" t="str">
        <f>"20228024613"</f>
        <v>20228024613</v>
      </c>
      <c r="E27" s="5" t="str">
        <f t="shared" si="2"/>
        <v>20220103</v>
      </c>
      <c r="F27" s="6">
        <v>93.05</v>
      </c>
      <c r="G27" s="6">
        <v>108.5</v>
      </c>
      <c r="H27" s="6">
        <v>102.32</v>
      </c>
    </row>
    <row r="28" ht="20" customHeight="1" spans="1:8">
      <c r="A28" s="4">
        <v>26</v>
      </c>
      <c r="B28" s="5" t="str">
        <f>"杨娜"</f>
        <v>杨娜</v>
      </c>
      <c r="C28" s="5"/>
      <c r="D28" s="5" t="str">
        <f>"20228024328"</f>
        <v>20228024328</v>
      </c>
      <c r="E28" s="5" t="str">
        <f t="shared" si="2"/>
        <v>20220103</v>
      </c>
      <c r="F28" s="6">
        <v>97.38</v>
      </c>
      <c r="G28" s="6">
        <v>105.6</v>
      </c>
      <c r="H28" s="6">
        <v>102.31</v>
      </c>
    </row>
    <row r="29" ht="20" customHeight="1" spans="1:8">
      <c r="A29" s="4">
        <v>27</v>
      </c>
      <c r="B29" s="5" t="str">
        <f>"徐晶晶"</f>
        <v>徐晶晶</v>
      </c>
      <c r="C29" s="5"/>
      <c r="D29" s="5" t="str">
        <f>"20228024201"</f>
        <v>20228024201</v>
      </c>
      <c r="E29" s="5" t="str">
        <f t="shared" si="2"/>
        <v>20220103</v>
      </c>
      <c r="F29" s="6">
        <v>92.84</v>
      </c>
      <c r="G29" s="6">
        <v>108.1</v>
      </c>
      <c r="H29" s="6">
        <v>102</v>
      </c>
    </row>
    <row r="30" ht="20" customHeight="1" spans="1:8">
      <c r="A30" s="4">
        <v>28</v>
      </c>
      <c r="B30" s="5" t="str">
        <f>"杨群群"</f>
        <v>杨群群</v>
      </c>
      <c r="C30" s="5"/>
      <c r="D30" s="5" t="str">
        <f>"20228024105"</f>
        <v>20228024105</v>
      </c>
      <c r="E30" s="5" t="str">
        <f t="shared" si="2"/>
        <v>20220103</v>
      </c>
      <c r="F30" s="6">
        <v>93.43</v>
      </c>
      <c r="G30" s="6">
        <v>106.1</v>
      </c>
      <c r="H30" s="6">
        <v>101.03</v>
      </c>
    </row>
    <row r="31" ht="20" customHeight="1" spans="1:8">
      <c r="A31" s="4">
        <v>29</v>
      </c>
      <c r="B31" s="5" t="str">
        <f>"王丽"</f>
        <v>王丽</v>
      </c>
      <c r="C31" s="5"/>
      <c r="D31" s="5" t="str">
        <f>"20228024120"</f>
        <v>20228024120</v>
      </c>
      <c r="E31" s="5" t="str">
        <f t="shared" si="2"/>
        <v>20220103</v>
      </c>
      <c r="F31" s="6">
        <v>93.27</v>
      </c>
      <c r="G31" s="6">
        <v>105.6</v>
      </c>
      <c r="H31" s="6">
        <v>100.67</v>
      </c>
    </row>
    <row r="32" ht="20" customHeight="1" spans="1:8">
      <c r="A32" s="4">
        <v>30</v>
      </c>
      <c r="B32" s="5" t="str">
        <f>"王昊康"</f>
        <v>王昊康</v>
      </c>
      <c r="C32" s="5"/>
      <c r="D32" s="5" t="str">
        <f>"20228024018"</f>
        <v>20228024018</v>
      </c>
      <c r="E32" s="5" t="str">
        <f t="shared" si="2"/>
        <v>20220103</v>
      </c>
      <c r="F32" s="6">
        <v>95.77</v>
      </c>
      <c r="G32" s="6">
        <v>103.9</v>
      </c>
      <c r="H32" s="6">
        <v>100.65</v>
      </c>
    </row>
    <row r="33" ht="20" customHeight="1" spans="1:8">
      <c r="A33" s="4">
        <v>31</v>
      </c>
      <c r="B33" s="5" t="str">
        <f>"宋思贤"</f>
        <v>宋思贤</v>
      </c>
      <c r="C33" s="5"/>
      <c r="D33" s="5" t="str">
        <f>"20228024128"</f>
        <v>20228024128</v>
      </c>
      <c r="E33" s="5" t="str">
        <f t="shared" si="2"/>
        <v>20220103</v>
      </c>
      <c r="F33" s="6">
        <v>97.07</v>
      </c>
      <c r="G33" s="6">
        <v>102.8</v>
      </c>
      <c r="H33" s="6">
        <v>100.51</v>
      </c>
    </row>
    <row r="34" ht="20" customHeight="1" spans="1:8">
      <c r="A34" s="4">
        <v>32</v>
      </c>
      <c r="B34" s="5" t="str">
        <f>"司玉莹"</f>
        <v>司玉莹</v>
      </c>
      <c r="C34" s="5"/>
      <c r="D34" s="5" t="str">
        <f>"20228024215"</f>
        <v>20228024215</v>
      </c>
      <c r="E34" s="5" t="str">
        <f t="shared" si="2"/>
        <v>20220103</v>
      </c>
      <c r="F34" s="6">
        <v>90.83</v>
      </c>
      <c r="G34" s="6">
        <v>106.6</v>
      </c>
      <c r="H34" s="6">
        <v>100.29</v>
      </c>
    </row>
    <row r="35" ht="20" customHeight="1" spans="1:8">
      <c r="A35" s="4">
        <v>33</v>
      </c>
      <c r="B35" s="5" t="str">
        <f>"相丽丽"</f>
        <v>相丽丽</v>
      </c>
      <c r="C35" s="5"/>
      <c r="D35" s="5" t="str">
        <f>"20228024202"</f>
        <v>20228024202</v>
      </c>
      <c r="E35" s="5" t="str">
        <f t="shared" si="2"/>
        <v>20220103</v>
      </c>
      <c r="F35" s="6">
        <v>94.71</v>
      </c>
      <c r="G35" s="6">
        <v>103.6</v>
      </c>
      <c r="H35" s="6">
        <v>100.04</v>
      </c>
    </row>
    <row r="36" ht="20" customHeight="1" spans="1:8">
      <c r="A36" s="4">
        <v>34</v>
      </c>
      <c r="B36" s="5" t="str">
        <f>"孙静"</f>
        <v>孙静</v>
      </c>
      <c r="C36" s="5"/>
      <c r="D36" s="5" t="str">
        <f>"20228024205"</f>
        <v>20228024205</v>
      </c>
      <c r="E36" s="5" t="str">
        <f t="shared" si="2"/>
        <v>20220103</v>
      </c>
      <c r="F36" s="6">
        <v>97.5</v>
      </c>
      <c r="G36" s="6">
        <v>101.7</v>
      </c>
      <c r="H36" s="6">
        <v>100.02</v>
      </c>
    </row>
    <row r="37" ht="20" customHeight="1" spans="1:8">
      <c r="A37" s="4">
        <v>35</v>
      </c>
      <c r="B37" s="5" t="str">
        <f>"焦婉丽"</f>
        <v>焦婉丽</v>
      </c>
      <c r="C37" s="5"/>
      <c r="D37" s="5" t="str">
        <f>"20228024505"</f>
        <v>20228024505</v>
      </c>
      <c r="E37" s="5" t="str">
        <f t="shared" si="2"/>
        <v>20220103</v>
      </c>
      <c r="F37" s="6">
        <v>93.93</v>
      </c>
      <c r="G37" s="6">
        <v>103.9</v>
      </c>
      <c r="H37" s="6">
        <v>99.91</v>
      </c>
    </row>
    <row r="38" ht="20" customHeight="1" spans="1:8">
      <c r="A38" s="4">
        <v>36</v>
      </c>
      <c r="B38" s="5" t="str">
        <f>"张婷婷"</f>
        <v>张婷婷</v>
      </c>
      <c r="C38" s="5"/>
      <c r="D38" s="5" t="str">
        <f>"20228024106"</f>
        <v>20228024106</v>
      </c>
      <c r="E38" s="5" t="str">
        <f t="shared" si="2"/>
        <v>20220103</v>
      </c>
      <c r="F38" s="6">
        <v>95.82</v>
      </c>
      <c r="G38" s="6">
        <v>102</v>
      </c>
      <c r="H38" s="6">
        <v>99.53</v>
      </c>
    </row>
    <row r="39" ht="20" customHeight="1" spans="1:8">
      <c r="A39" s="4">
        <v>37</v>
      </c>
      <c r="B39" s="5" t="str">
        <f>"刘伟东"</f>
        <v>刘伟东</v>
      </c>
      <c r="C39" s="5"/>
      <c r="D39" s="5" t="str">
        <f>"20228025602"</f>
        <v>20228025602</v>
      </c>
      <c r="E39" s="5" t="str">
        <f t="shared" ref="E39:E54" si="3">"20220104"</f>
        <v>20220104</v>
      </c>
      <c r="F39" s="6">
        <v>95.55</v>
      </c>
      <c r="G39" s="6">
        <v>88.3</v>
      </c>
      <c r="H39" s="6">
        <v>91.2</v>
      </c>
    </row>
    <row r="40" ht="20" customHeight="1" spans="1:8">
      <c r="A40" s="4">
        <v>38</v>
      </c>
      <c r="B40" s="5" t="str">
        <f>"刘自力"</f>
        <v>刘自力</v>
      </c>
      <c r="C40" s="5"/>
      <c r="D40" s="5" t="str">
        <f>"20228025612"</f>
        <v>20228025612</v>
      </c>
      <c r="E40" s="5" t="str">
        <f t="shared" si="3"/>
        <v>20220104</v>
      </c>
      <c r="F40" s="6">
        <v>85.38</v>
      </c>
      <c r="G40" s="6">
        <v>88.4</v>
      </c>
      <c r="H40" s="6">
        <v>87.19</v>
      </c>
    </row>
    <row r="41" ht="20" customHeight="1" spans="1:8">
      <c r="A41" s="4">
        <v>39</v>
      </c>
      <c r="B41" s="5" t="str">
        <f>"肖家祥"</f>
        <v>肖家祥</v>
      </c>
      <c r="C41" s="5"/>
      <c r="D41" s="5" t="str">
        <f>"20228025605"</f>
        <v>20228025605</v>
      </c>
      <c r="E41" s="5" t="str">
        <f t="shared" si="3"/>
        <v>20220104</v>
      </c>
      <c r="F41" s="6">
        <v>85.92</v>
      </c>
      <c r="G41" s="6">
        <v>82.3</v>
      </c>
      <c r="H41" s="6">
        <v>83.75</v>
      </c>
    </row>
    <row r="42" ht="20" customHeight="1" spans="1:8">
      <c r="A42" s="4">
        <v>40</v>
      </c>
      <c r="B42" s="5" t="str">
        <f>"王迷迷"</f>
        <v>王迷迷</v>
      </c>
      <c r="C42" s="5"/>
      <c r="D42" s="5" t="str">
        <f>"20228025603"</f>
        <v>20228025603</v>
      </c>
      <c r="E42" s="5" t="str">
        <f t="shared" si="3"/>
        <v>20220104</v>
      </c>
      <c r="F42" s="6">
        <v>64.08</v>
      </c>
      <c r="G42" s="6">
        <v>84.8</v>
      </c>
      <c r="H42" s="6">
        <v>76.51</v>
      </c>
    </row>
    <row r="43" ht="20" customHeight="1" spans="1:8">
      <c r="A43" s="4">
        <v>41</v>
      </c>
      <c r="B43" s="5" t="str">
        <f>"张雨斌"</f>
        <v>张雨斌</v>
      </c>
      <c r="C43" s="5"/>
      <c r="D43" s="5" t="str">
        <f>"20228025609"</f>
        <v>20228025609</v>
      </c>
      <c r="E43" s="5" t="str">
        <f t="shared" si="3"/>
        <v>20220104</v>
      </c>
      <c r="F43" s="6">
        <v>70.98</v>
      </c>
      <c r="G43" s="6">
        <v>68.9</v>
      </c>
      <c r="H43" s="6">
        <v>69.73</v>
      </c>
    </row>
    <row r="44" ht="20" customHeight="1" spans="1:8">
      <c r="A44" s="4">
        <v>42</v>
      </c>
      <c r="B44" s="5" t="str">
        <f>"李志豪"</f>
        <v>李志豪</v>
      </c>
      <c r="C44" s="5"/>
      <c r="D44" s="5" t="str">
        <f>"20228025613"</f>
        <v>20228025613</v>
      </c>
      <c r="E44" s="5" t="str">
        <f t="shared" si="3"/>
        <v>20220104</v>
      </c>
      <c r="F44" s="6">
        <v>70.88</v>
      </c>
      <c r="G44" s="6">
        <v>68.5</v>
      </c>
      <c r="H44" s="6">
        <v>69.45</v>
      </c>
    </row>
    <row r="45" ht="20" customHeight="1" spans="1:8">
      <c r="A45" s="4">
        <v>43</v>
      </c>
      <c r="B45" s="5" t="str">
        <f>"张玉"</f>
        <v>张玉</v>
      </c>
      <c r="C45" s="5"/>
      <c r="D45" s="5" t="str">
        <f>"20228025610"</f>
        <v>20228025610</v>
      </c>
      <c r="E45" s="5" t="str">
        <f t="shared" si="3"/>
        <v>20220104</v>
      </c>
      <c r="F45" s="6">
        <v>71.25</v>
      </c>
      <c r="G45" s="6">
        <v>62.9</v>
      </c>
      <c r="H45" s="6">
        <v>66.24</v>
      </c>
    </row>
    <row r="46" ht="20" customHeight="1" spans="1:8">
      <c r="A46" s="4">
        <v>44</v>
      </c>
      <c r="B46" s="5" t="str">
        <f>"林雪朋"</f>
        <v>林雪朋</v>
      </c>
      <c r="C46" s="5"/>
      <c r="D46" s="5" t="str">
        <f>"20228025608"</f>
        <v>20228025608</v>
      </c>
      <c r="E46" s="5" t="str">
        <f t="shared" si="3"/>
        <v>20220104</v>
      </c>
      <c r="F46" s="6">
        <v>74.77</v>
      </c>
      <c r="G46" s="6">
        <v>57.3</v>
      </c>
      <c r="H46" s="6">
        <v>64.29</v>
      </c>
    </row>
    <row r="47" ht="20" customHeight="1" spans="1:8">
      <c r="A47" s="4">
        <v>45</v>
      </c>
      <c r="B47" s="5" t="str">
        <f>"程新宁"</f>
        <v>程新宁</v>
      </c>
      <c r="C47" s="5"/>
      <c r="D47" s="5" t="str">
        <f>"20228025828"</f>
        <v>20228025828</v>
      </c>
      <c r="E47" s="5" t="str">
        <f t="shared" ref="E47:E110" si="4">"20220105"</f>
        <v>20220105</v>
      </c>
      <c r="F47" s="6">
        <v>98.88</v>
      </c>
      <c r="G47" s="6">
        <v>96.7</v>
      </c>
      <c r="H47" s="6">
        <v>97.57</v>
      </c>
    </row>
    <row r="48" ht="20" customHeight="1" spans="1:8">
      <c r="A48" s="4">
        <v>46</v>
      </c>
      <c r="B48" s="5" t="str">
        <f>"牛新平"</f>
        <v>牛新平</v>
      </c>
      <c r="C48" s="5"/>
      <c r="D48" s="5" t="str">
        <f>"20228026030"</f>
        <v>20228026030</v>
      </c>
      <c r="E48" s="5" t="str">
        <f t="shared" si="4"/>
        <v>20220105</v>
      </c>
      <c r="F48" s="6">
        <v>93.28</v>
      </c>
      <c r="G48" s="6">
        <v>95.5</v>
      </c>
      <c r="H48" s="6">
        <v>94.61</v>
      </c>
    </row>
    <row r="49" ht="20" customHeight="1" spans="1:8">
      <c r="A49" s="4">
        <v>47</v>
      </c>
      <c r="B49" s="5" t="str">
        <f>"代莉莉"</f>
        <v>代莉莉</v>
      </c>
      <c r="C49" s="5"/>
      <c r="D49" s="5" t="str">
        <f>"20228025819"</f>
        <v>20228025819</v>
      </c>
      <c r="E49" s="5" t="str">
        <f t="shared" si="4"/>
        <v>20220105</v>
      </c>
      <c r="F49" s="6">
        <v>88.83</v>
      </c>
      <c r="G49" s="6">
        <v>95.7</v>
      </c>
      <c r="H49" s="6">
        <v>92.95</v>
      </c>
    </row>
    <row r="50" ht="20" customHeight="1" spans="1:8">
      <c r="A50" s="4">
        <v>48</v>
      </c>
      <c r="B50" s="5" t="str">
        <f>"王光辉"</f>
        <v>王光辉</v>
      </c>
      <c r="C50" s="5"/>
      <c r="D50" s="5" t="str">
        <f>"20228025916"</f>
        <v>20228025916</v>
      </c>
      <c r="E50" s="5" t="str">
        <f t="shared" si="4"/>
        <v>20220105</v>
      </c>
      <c r="F50" s="6">
        <v>87.41</v>
      </c>
      <c r="G50" s="6">
        <v>96.3</v>
      </c>
      <c r="H50" s="6">
        <v>92.74</v>
      </c>
    </row>
    <row r="51" ht="20" customHeight="1" spans="1:8">
      <c r="A51" s="4">
        <v>49</v>
      </c>
      <c r="B51" s="5" t="str">
        <f>"王晓艳"</f>
        <v>王晓艳</v>
      </c>
      <c r="C51" s="5"/>
      <c r="D51" s="5" t="str">
        <f>"20228025820"</f>
        <v>20228025820</v>
      </c>
      <c r="E51" s="5" t="str">
        <f t="shared" si="4"/>
        <v>20220105</v>
      </c>
      <c r="F51" s="6">
        <v>85.57</v>
      </c>
      <c r="G51" s="6">
        <v>96.8</v>
      </c>
      <c r="H51" s="6">
        <v>92.31</v>
      </c>
    </row>
    <row r="52" ht="20" customHeight="1" spans="1:8">
      <c r="A52" s="4">
        <v>50</v>
      </c>
      <c r="B52" s="5" t="str">
        <f>"付文倩"</f>
        <v>付文倩</v>
      </c>
      <c r="C52" s="5"/>
      <c r="D52" s="5" t="str">
        <f>"20228025826"</f>
        <v>20228025826</v>
      </c>
      <c r="E52" s="5" t="str">
        <f t="shared" si="4"/>
        <v>20220105</v>
      </c>
      <c r="F52" s="6">
        <v>94.41</v>
      </c>
      <c r="G52" s="6">
        <v>89.6</v>
      </c>
      <c r="H52" s="6">
        <v>91.52</v>
      </c>
    </row>
    <row r="53" ht="20" customHeight="1" spans="1:8">
      <c r="A53" s="4">
        <v>51</v>
      </c>
      <c r="B53" s="5" t="str">
        <f>"刘品"</f>
        <v>刘品</v>
      </c>
      <c r="C53" s="5"/>
      <c r="D53" s="5" t="str">
        <f>"20228025924"</f>
        <v>20228025924</v>
      </c>
      <c r="E53" s="5" t="str">
        <f t="shared" si="4"/>
        <v>20220105</v>
      </c>
      <c r="F53" s="6">
        <v>86.83</v>
      </c>
      <c r="G53" s="6">
        <v>92.5</v>
      </c>
      <c r="H53" s="6">
        <v>90.23</v>
      </c>
    </row>
    <row r="54" ht="20" customHeight="1" spans="1:8">
      <c r="A54" s="4">
        <v>52</v>
      </c>
      <c r="B54" s="5" t="str">
        <f>"程峰"</f>
        <v>程峰</v>
      </c>
      <c r="C54" s="5"/>
      <c r="D54" s="5" t="str">
        <f>"20228026002"</f>
        <v>20228026002</v>
      </c>
      <c r="E54" s="5" t="str">
        <f t="shared" si="4"/>
        <v>20220105</v>
      </c>
      <c r="F54" s="6">
        <v>83.19</v>
      </c>
      <c r="G54" s="6">
        <v>94.9</v>
      </c>
      <c r="H54" s="6">
        <v>90.22</v>
      </c>
    </row>
    <row r="55" ht="20" customHeight="1" spans="1:8">
      <c r="A55" s="4">
        <v>53</v>
      </c>
      <c r="B55" s="5" t="str">
        <f>"荣燕"</f>
        <v>荣燕</v>
      </c>
      <c r="C55" s="5"/>
      <c r="D55" s="5" t="str">
        <f>"20228025920"</f>
        <v>20228025920</v>
      </c>
      <c r="E55" s="5" t="str">
        <f t="shared" si="4"/>
        <v>20220105</v>
      </c>
      <c r="F55" s="6">
        <v>88.46</v>
      </c>
      <c r="G55" s="6">
        <v>90.6</v>
      </c>
      <c r="H55" s="6">
        <v>89.74</v>
      </c>
    </row>
    <row r="56" ht="20" customHeight="1" spans="1:8">
      <c r="A56" s="4">
        <v>54</v>
      </c>
      <c r="B56" s="5" t="str">
        <f>"马瑞"</f>
        <v>马瑞</v>
      </c>
      <c r="C56" s="5"/>
      <c r="D56" s="5" t="str">
        <f>"20228025714"</f>
        <v>20228025714</v>
      </c>
      <c r="E56" s="5" t="str">
        <f t="shared" si="4"/>
        <v>20220105</v>
      </c>
      <c r="F56" s="6">
        <v>92.08</v>
      </c>
      <c r="G56" s="6">
        <v>88.1</v>
      </c>
      <c r="H56" s="6">
        <v>89.69</v>
      </c>
    </row>
    <row r="57" ht="20" customHeight="1" spans="1:8">
      <c r="A57" s="4">
        <v>55</v>
      </c>
      <c r="B57" s="5" t="str">
        <f>"张晓萍"</f>
        <v>张晓萍</v>
      </c>
      <c r="C57" s="5"/>
      <c r="D57" s="5" t="str">
        <f>"20228026007"</f>
        <v>20228026007</v>
      </c>
      <c r="E57" s="5" t="str">
        <f t="shared" si="4"/>
        <v>20220105</v>
      </c>
      <c r="F57" s="6">
        <v>96.55</v>
      </c>
      <c r="G57" s="6">
        <v>85</v>
      </c>
      <c r="H57" s="6">
        <v>89.62</v>
      </c>
    </row>
    <row r="58" ht="20" customHeight="1" spans="1:8">
      <c r="A58" s="4">
        <v>56</v>
      </c>
      <c r="B58" s="5" t="str">
        <f>"陶晓月"</f>
        <v>陶晓月</v>
      </c>
      <c r="C58" s="5"/>
      <c r="D58" s="5" t="str">
        <f>"20228025825"</f>
        <v>20228025825</v>
      </c>
      <c r="E58" s="5" t="str">
        <f t="shared" si="4"/>
        <v>20220105</v>
      </c>
      <c r="F58" s="6">
        <v>93.77</v>
      </c>
      <c r="G58" s="6">
        <v>86.4</v>
      </c>
      <c r="H58" s="6">
        <v>89.35</v>
      </c>
    </row>
    <row r="59" ht="20" customHeight="1" spans="1:8">
      <c r="A59" s="4">
        <v>57</v>
      </c>
      <c r="B59" s="5" t="str">
        <f>"单伟伟"</f>
        <v>单伟伟</v>
      </c>
      <c r="C59" s="5"/>
      <c r="D59" s="5" t="str">
        <f>"20228026018"</f>
        <v>20228026018</v>
      </c>
      <c r="E59" s="5" t="str">
        <f t="shared" si="4"/>
        <v>20220105</v>
      </c>
      <c r="F59" s="6">
        <v>83.49</v>
      </c>
      <c r="G59" s="6">
        <v>92.3</v>
      </c>
      <c r="H59" s="6">
        <v>88.78</v>
      </c>
    </row>
    <row r="60" ht="20" customHeight="1" spans="1:8">
      <c r="A60" s="4">
        <v>58</v>
      </c>
      <c r="B60" s="5" t="str">
        <f>"李艳萍"</f>
        <v>李艳萍</v>
      </c>
      <c r="C60" s="5"/>
      <c r="D60" s="5" t="str">
        <f>"20228025918"</f>
        <v>20228025918</v>
      </c>
      <c r="E60" s="5" t="str">
        <f t="shared" si="4"/>
        <v>20220105</v>
      </c>
      <c r="F60" s="6">
        <v>83.24</v>
      </c>
      <c r="G60" s="6">
        <v>92.1</v>
      </c>
      <c r="H60" s="6">
        <v>88.56</v>
      </c>
    </row>
    <row r="61" ht="20" customHeight="1" spans="1:8">
      <c r="A61" s="4">
        <v>59</v>
      </c>
      <c r="B61" s="5" t="str">
        <f>"马艳玲"</f>
        <v>马艳玲</v>
      </c>
      <c r="C61" s="5"/>
      <c r="D61" s="5" t="str">
        <f>"20228026016"</f>
        <v>20228026016</v>
      </c>
      <c r="E61" s="5" t="str">
        <f t="shared" si="4"/>
        <v>20220105</v>
      </c>
      <c r="F61" s="6">
        <v>86.82</v>
      </c>
      <c r="G61" s="6">
        <v>89.6</v>
      </c>
      <c r="H61" s="6">
        <v>88.49</v>
      </c>
    </row>
    <row r="62" ht="20" customHeight="1" spans="1:8">
      <c r="A62" s="4">
        <v>60</v>
      </c>
      <c r="B62" s="5" t="str">
        <f>"王盼盼"</f>
        <v>王盼盼</v>
      </c>
      <c r="C62" s="5"/>
      <c r="D62" s="5" t="str">
        <f>"20228026304"</f>
        <v>20228026304</v>
      </c>
      <c r="E62" s="5" t="str">
        <f t="shared" ref="E62:E73" si="5">"20220106"</f>
        <v>20220106</v>
      </c>
      <c r="F62" s="6">
        <v>94</v>
      </c>
      <c r="G62" s="6">
        <v>96.3</v>
      </c>
      <c r="H62" s="6">
        <v>95.38</v>
      </c>
    </row>
    <row r="63" ht="20" customHeight="1" spans="1:8">
      <c r="A63" s="4">
        <v>61</v>
      </c>
      <c r="B63" s="5" t="str">
        <f>"张卫星"</f>
        <v>张卫星</v>
      </c>
      <c r="C63" s="5"/>
      <c r="D63" s="5" t="str">
        <f>"20228026403"</f>
        <v>20228026403</v>
      </c>
      <c r="E63" s="5" t="str">
        <f t="shared" si="5"/>
        <v>20220106</v>
      </c>
      <c r="F63" s="6">
        <v>92.55</v>
      </c>
      <c r="G63" s="6">
        <v>93.1</v>
      </c>
      <c r="H63" s="6">
        <v>92.88</v>
      </c>
    </row>
    <row r="64" ht="20" customHeight="1" spans="1:8">
      <c r="A64" s="4">
        <v>62</v>
      </c>
      <c r="B64" s="5" t="str">
        <f>"刘歌"</f>
        <v>刘歌</v>
      </c>
      <c r="C64" s="5"/>
      <c r="D64" s="5" t="str">
        <f>"20228026326"</f>
        <v>20228026326</v>
      </c>
      <c r="E64" s="5" t="str">
        <f t="shared" si="5"/>
        <v>20220106</v>
      </c>
      <c r="F64" s="6">
        <v>94.06</v>
      </c>
      <c r="G64" s="6">
        <v>91.4</v>
      </c>
      <c r="H64" s="6">
        <v>92.46</v>
      </c>
    </row>
    <row r="65" ht="20" customHeight="1" spans="1:8">
      <c r="A65" s="4">
        <v>63</v>
      </c>
      <c r="B65" s="5" t="str">
        <f>"焦婷"</f>
        <v>焦婷</v>
      </c>
      <c r="C65" s="5"/>
      <c r="D65" s="5" t="str">
        <f>"20228026329"</f>
        <v>20228026329</v>
      </c>
      <c r="E65" s="5" t="str">
        <f t="shared" si="5"/>
        <v>20220106</v>
      </c>
      <c r="F65" s="6">
        <v>91.2</v>
      </c>
      <c r="G65" s="6">
        <v>90.2</v>
      </c>
      <c r="H65" s="6">
        <v>90.6</v>
      </c>
    </row>
    <row r="66" ht="20" customHeight="1" spans="1:8">
      <c r="A66" s="4">
        <v>64</v>
      </c>
      <c r="B66" s="5" t="str">
        <f>"张涟琦"</f>
        <v>张涟琦</v>
      </c>
      <c r="C66" s="5"/>
      <c r="D66" s="5" t="str">
        <f>"20228026320"</f>
        <v>20228026320</v>
      </c>
      <c r="E66" s="5" t="str">
        <f t="shared" si="5"/>
        <v>20220106</v>
      </c>
      <c r="F66" s="6">
        <v>86.37</v>
      </c>
      <c r="G66" s="6">
        <v>93.4</v>
      </c>
      <c r="H66" s="6">
        <v>90.59</v>
      </c>
    </row>
    <row r="67" ht="20" customHeight="1" spans="1:8">
      <c r="A67" s="4">
        <v>65</v>
      </c>
      <c r="B67" s="5" t="str">
        <f>"王梅"</f>
        <v>王梅</v>
      </c>
      <c r="C67" s="5"/>
      <c r="D67" s="5" t="str">
        <f>"20228026319"</f>
        <v>20228026319</v>
      </c>
      <c r="E67" s="5" t="str">
        <f t="shared" si="5"/>
        <v>20220106</v>
      </c>
      <c r="F67" s="6">
        <v>94.09</v>
      </c>
      <c r="G67" s="6">
        <v>87.5</v>
      </c>
      <c r="H67" s="6">
        <v>90.14</v>
      </c>
    </row>
    <row r="68" ht="20" customHeight="1" spans="1:8">
      <c r="A68" s="4">
        <v>66</v>
      </c>
      <c r="B68" s="5" t="str">
        <f>"李悦"</f>
        <v>李悦</v>
      </c>
      <c r="C68" s="5"/>
      <c r="D68" s="5" t="str">
        <f>"20228026301"</f>
        <v>20228026301</v>
      </c>
      <c r="E68" s="5" t="str">
        <f t="shared" si="5"/>
        <v>20220106</v>
      </c>
      <c r="F68" s="6">
        <v>88.18</v>
      </c>
      <c r="G68" s="6">
        <v>90.7</v>
      </c>
      <c r="H68" s="6">
        <v>89.69</v>
      </c>
    </row>
    <row r="69" ht="20" customHeight="1" spans="1:8">
      <c r="A69" s="4">
        <v>67</v>
      </c>
      <c r="B69" s="5" t="str">
        <f>"李倩"</f>
        <v>李倩</v>
      </c>
      <c r="C69" s="5"/>
      <c r="D69" s="5" t="str">
        <f>"20228026330"</f>
        <v>20228026330</v>
      </c>
      <c r="E69" s="5" t="str">
        <f t="shared" si="5"/>
        <v>20220106</v>
      </c>
      <c r="F69" s="6">
        <v>83.15</v>
      </c>
      <c r="G69" s="6">
        <v>92.8</v>
      </c>
      <c r="H69" s="6">
        <v>88.94</v>
      </c>
    </row>
    <row r="70" ht="20" customHeight="1" spans="1:8">
      <c r="A70" s="4">
        <v>68</v>
      </c>
      <c r="B70" s="5" t="str">
        <f>"白映雪"</f>
        <v>白映雪</v>
      </c>
      <c r="C70" s="5"/>
      <c r="D70" s="5" t="str">
        <f>"20228026328"</f>
        <v>20228026328</v>
      </c>
      <c r="E70" s="5" t="str">
        <f t="shared" si="5"/>
        <v>20220106</v>
      </c>
      <c r="F70" s="6">
        <v>73.41</v>
      </c>
      <c r="G70" s="6">
        <v>98.6</v>
      </c>
      <c r="H70" s="6">
        <v>88.52</v>
      </c>
    </row>
    <row r="71" ht="20" customHeight="1" spans="1:8">
      <c r="A71" s="4">
        <v>69</v>
      </c>
      <c r="B71" s="5" t="str">
        <f>"徐坤"</f>
        <v>徐坤</v>
      </c>
      <c r="C71" s="5"/>
      <c r="D71" s="5" t="str">
        <f>"20228026416"</f>
        <v>20228026416</v>
      </c>
      <c r="E71" s="5" t="str">
        <f t="shared" si="5"/>
        <v>20220106</v>
      </c>
      <c r="F71" s="6">
        <v>84.74</v>
      </c>
      <c r="G71" s="6">
        <v>90.7</v>
      </c>
      <c r="H71" s="6">
        <v>88.32</v>
      </c>
    </row>
    <row r="72" ht="20" customHeight="1" spans="1:8">
      <c r="A72" s="4">
        <v>70</v>
      </c>
      <c r="B72" s="5" t="str">
        <f>"杨梦师"</f>
        <v>杨梦师</v>
      </c>
      <c r="C72" s="5"/>
      <c r="D72" s="5" t="str">
        <f>"20228026401"</f>
        <v>20228026401</v>
      </c>
      <c r="E72" s="5" t="str">
        <f t="shared" si="5"/>
        <v>20220106</v>
      </c>
      <c r="F72" s="6">
        <v>85.9</v>
      </c>
      <c r="G72" s="6">
        <v>88.7</v>
      </c>
      <c r="H72" s="6">
        <v>87.58</v>
      </c>
    </row>
    <row r="73" ht="20" customHeight="1" spans="1:8">
      <c r="A73" s="4">
        <v>71</v>
      </c>
      <c r="B73" s="5" t="str">
        <f>"王亚楠"</f>
        <v>王亚楠</v>
      </c>
      <c r="C73" s="5"/>
      <c r="D73" s="5" t="str">
        <f>"20228026323"</f>
        <v>20228026323</v>
      </c>
      <c r="E73" s="5" t="str">
        <f t="shared" si="5"/>
        <v>20220106</v>
      </c>
      <c r="F73" s="6">
        <v>73.09</v>
      </c>
      <c r="G73" s="6">
        <v>94.6</v>
      </c>
      <c r="H73" s="6">
        <v>86</v>
      </c>
    </row>
    <row r="74" ht="20" customHeight="1" spans="1:8">
      <c r="A74" s="4">
        <v>72</v>
      </c>
      <c r="B74" s="5" t="str">
        <f>"温海燕"</f>
        <v>温海燕</v>
      </c>
      <c r="C74" s="5"/>
      <c r="D74" s="5" t="str">
        <f>"20228026517"</f>
        <v>20228026517</v>
      </c>
      <c r="E74" s="5" t="str">
        <f t="shared" ref="E74:E84" si="6">"20220107"</f>
        <v>20220107</v>
      </c>
      <c r="F74" s="6">
        <v>89.34</v>
      </c>
      <c r="G74" s="6">
        <v>111</v>
      </c>
      <c r="H74" s="6">
        <v>102.34</v>
      </c>
    </row>
    <row r="75" ht="20" customHeight="1" spans="1:8">
      <c r="A75" s="4">
        <v>73</v>
      </c>
      <c r="B75" s="5" t="str">
        <f>"王显辉"</f>
        <v>王显辉</v>
      </c>
      <c r="C75" s="5"/>
      <c r="D75" s="5" t="str">
        <f>"20228026509"</f>
        <v>20228026509</v>
      </c>
      <c r="E75" s="5" t="str">
        <f t="shared" si="6"/>
        <v>20220107</v>
      </c>
      <c r="F75" s="6">
        <v>91.33</v>
      </c>
      <c r="G75" s="6">
        <v>104.1</v>
      </c>
      <c r="H75" s="6">
        <v>98.99</v>
      </c>
    </row>
    <row r="76" ht="20" customHeight="1" spans="1:8">
      <c r="A76" s="4">
        <v>74</v>
      </c>
      <c r="B76" s="5" t="str">
        <f>"周涛"</f>
        <v>周涛</v>
      </c>
      <c r="C76" s="5"/>
      <c r="D76" s="5" t="str">
        <f>"20228026516"</f>
        <v>20228026516</v>
      </c>
      <c r="E76" s="5" t="str">
        <f t="shared" si="6"/>
        <v>20220107</v>
      </c>
      <c r="F76" s="6">
        <v>82.35</v>
      </c>
      <c r="G76" s="6">
        <v>104.6</v>
      </c>
      <c r="H76" s="6">
        <v>95.7</v>
      </c>
    </row>
    <row r="77" ht="20" customHeight="1" spans="1:8">
      <c r="A77" s="4">
        <v>75</v>
      </c>
      <c r="B77" s="5" t="str">
        <f>"张坤"</f>
        <v>张坤</v>
      </c>
      <c r="C77" s="5"/>
      <c r="D77" s="5" t="str">
        <f>"20228026508"</f>
        <v>20228026508</v>
      </c>
      <c r="E77" s="5" t="str">
        <f t="shared" si="6"/>
        <v>20220107</v>
      </c>
      <c r="F77" s="6">
        <v>86.13</v>
      </c>
      <c r="G77" s="6">
        <v>100.6</v>
      </c>
      <c r="H77" s="6">
        <v>94.81</v>
      </c>
    </row>
    <row r="78" ht="20" customHeight="1" spans="1:8">
      <c r="A78" s="4">
        <v>76</v>
      </c>
      <c r="B78" s="5" t="str">
        <f>"冷茜茜"</f>
        <v>冷茜茜</v>
      </c>
      <c r="C78" s="5"/>
      <c r="D78" s="5" t="str">
        <f>"20228026515"</f>
        <v>20228026515</v>
      </c>
      <c r="E78" s="5" t="str">
        <f t="shared" si="6"/>
        <v>20220107</v>
      </c>
      <c r="F78" s="6">
        <v>79.16</v>
      </c>
      <c r="G78" s="6">
        <v>102.1</v>
      </c>
      <c r="H78" s="6">
        <v>92.92</v>
      </c>
    </row>
    <row r="79" ht="20" customHeight="1" spans="1:8">
      <c r="A79" s="4">
        <v>77</v>
      </c>
      <c r="B79" s="5" t="str">
        <f>"王珊珊"</f>
        <v>王珊珊</v>
      </c>
      <c r="C79" s="5"/>
      <c r="D79" s="5" t="str">
        <f>"20228026507"</f>
        <v>20228026507</v>
      </c>
      <c r="E79" s="5" t="str">
        <f t="shared" si="6"/>
        <v>20220107</v>
      </c>
      <c r="F79" s="6">
        <v>79.47</v>
      </c>
      <c r="G79" s="6">
        <v>100.9</v>
      </c>
      <c r="H79" s="6">
        <v>92.33</v>
      </c>
    </row>
    <row r="80" ht="20" customHeight="1" spans="1:8">
      <c r="A80" s="4">
        <v>78</v>
      </c>
      <c r="B80" s="5" t="str">
        <f>"左兰兰"</f>
        <v>左兰兰</v>
      </c>
      <c r="C80" s="5"/>
      <c r="D80" s="5" t="str">
        <f>"20228026605"</f>
        <v>20228026605</v>
      </c>
      <c r="E80" s="5" t="str">
        <f t="shared" ref="E80:E106" si="7">"20220108"</f>
        <v>20220108</v>
      </c>
      <c r="F80" s="6">
        <v>101.5</v>
      </c>
      <c r="G80" s="6">
        <v>107.8</v>
      </c>
      <c r="H80" s="6">
        <v>105.28</v>
      </c>
    </row>
    <row r="81" ht="20" customHeight="1" spans="1:8">
      <c r="A81" s="4">
        <v>79</v>
      </c>
      <c r="B81" s="5" t="str">
        <f>"刘雪勤"</f>
        <v>刘雪勤</v>
      </c>
      <c r="C81" s="5"/>
      <c r="D81" s="5" t="str">
        <f>"20228026609"</f>
        <v>20228026609</v>
      </c>
      <c r="E81" s="5" t="str">
        <f t="shared" si="7"/>
        <v>20220108</v>
      </c>
      <c r="F81" s="6">
        <v>97.25</v>
      </c>
      <c r="G81" s="6">
        <v>106.8</v>
      </c>
      <c r="H81" s="6">
        <v>102.98</v>
      </c>
    </row>
    <row r="82" ht="20" customHeight="1" spans="1:8">
      <c r="A82" s="4">
        <v>80</v>
      </c>
      <c r="B82" s="5" t="str">
        <f>"郭园"</f>
        <v>郭园</v>
      </c>
      <c r="C82" s="5"/>
      <c r="D82" s="5" t="str">
        <f>"20228026608"</f>
        <v>20228026608</v>
      </c>
      <c r="E82" s="5" t="str">
        <f t="shared" si="7"/>
        <v>20220108</v>
      </c>
      <c r="F82" s="6">
        <v>92.59</v>
      </c>
      <c r="G82" s="6">
        <v>108</v>
      </c>
      <c r="H82" s="6">
        <v>101.84</v>
      </c>
    </row>
    <row r="83" ht="20" customHeight="1" spans="1:8">
      <c r="A83" s="4">
        <v>81</v>
      </c>
      <c r="B83" s="5" t="str">
        <f>"周双影"</f>
        <v>周双影</v>
      </c>
      <c r="C83" s="5"/>
      <c r="D83" s="5" t="str">
        <f>"20228026627"</f>
        <v>20228026627</v>
      </c>
      <c r="E83" s="5" t="str">
        <f t="shared" si="7"/>
        <v>20220108</v>
      </c>
      <c r="F83" s="6">
        <v>86.94</v>
      </c>
      <c r="G83" s="6">
        <v>107.7</v>
      </c>
      <c r="H83" s="6">
        <v>99.4</v>
      </c>
    </row>
    <row r="84" ht="20" customHeight="1" spans="1:8">
      <c r="A84" s="4">
        <v>82</v>
      </c>
      <c r="B84" s="5" t="str">
        <f>"孙钰钰"</f>
        <v>孙钰钰</v>
      </c>
      <c r="C84" s="5"/>
      <c r="D84" s="5" t="str">
        <f>"20228026603"</f>
        <v>20228026603</v>
      </c>
      <c r="E84" s="5" t="str">
        <f t="shared" si="7"/>
        <v>20220108</v>
      </c>
      <c r="F84" s="6">
        <v>99.93</v>
      </c>
      <c r="G84" s="6">
        <v>98.9</v>
      </c>
      <c r="H84" s="6">
        <v>99.31</v>
      </c>
    </row>
    <row r="85" ht="20" customHeight="1" spans="1:8">
      <c r="A85" s="4">
        <v>83</v>
      </c>
      <c r="B85" s="5" t="str">
        <f>"董福源"</f>
        <v>董福源</v>
      </c>
      <c r="C85" s="5"/>
      <c r="D85" s="5" t="str">
        <f>"20228026607"</f>
        <v>20228026607</v>
      </c>
      <c r="E85" s="5" t="str">
        <f t="shared" si="7"/>
        <v>20220108</v>
      </c>
      <c r="F85" s="6">
        <v>86.37</v>
      </c>
      <c r="G85" s="6">
        <v>104.9</v>
      </c>
      <c r="H85" s="6">
        <v>97.49</v>
      </c>
    </row>
    <row r="86" ht="20" customHeight="1" spans="1:8">
      <c r="A86" s="4">
        <v>84</v>
      </c>
      <c r="B86" s="5" t="str">
        <f>"李景征"</f>
        <v>李景征</v>
      </c>
      <c r="C86" s="5"/>
      <c r="D86" s="5" t="str">
        <f>"20228026626"</f>
        <v>20228026626</v>
      </c>
      <c r="E86" s="5" t="str">
        <f t="shared" si="7"/>
        <v>20220108</v>
      </c>
      <c r="F86" s="6">
        <v>83.02</v>
      </c>
      <c r="G86" s="6">
        <v>101.1</v>
      </c>
      <c r="H86" s="6">
        <v>93.87</v>
      </c>
    </row>
    <row r="87" ht="20" customHeight="1" spans="1:8">
      <c r="A87" s="4">
        <v>85</v>
      </c>
      <c r="B87" s="5" t="str">
        <f>"程春凤"</f>
        <v>程春凤</v>
      </c>
      <c r="C87" s="5"/>
      <c r="D87" s="5" t="str">
        <f>"20228026602"</f>
        <v>20228026602</v>
      </c>
      <c r="E87" s="5" t="str">
        <f t="shared" si="7"/>
        <v>20220108</v>
      </c>
      <c r="F87" s="6">
        <v>79.99</v>
      </c>
      <c r="G87" s="6">
        <v>99.3</v>
      </c>
      <c r="H87" s="6">
        <v>91.58</v>
      </c>
    </row>
    <row r="88" ht="20" customHeight="1" spans="1:8">
      <c r="A88" s="4">
        <v>86</v>
      </c>
      <c r="B88" s="5" t="str">
        <f>"张冰冰"</f>
        <v>张冰冰</v>
      </c>
      <c r="C88" s="5"/>
      <c r="D88" s="5" t="str">
        <f>"20228026610"</f>
        <v>20228026610</v>
      </c>
      <c r="E88" s="5" t="str">
        <f t="shared" si="7"/>
        <v>20220108</v>
      </c>
      <c r="F88" s="6">
        <v>80.35</v>
      </c>
      <c r="G88" s="6">
        <v>97.6</v>
      </c>
      <c r="H88" s="6">
        <v>90.7</v>
      </c>
    </row>
    <row r="89" ht="20" customHeight="1" spans="1:8">
      <c r="A89" s="4">
        <v>87</v>
      </c>
      <c r="B89" s="5" t="str">
        <f>"常慧龙"</f>
        <v>常慧龙</v>
      </c>
      <c r="C89" s="5"/>
      <c r="D89" s="5" t="str">
        <f>"20228026625"</f>
        <v>20228026625</v>
      </c>
      <c r="E89" s="5" t="str">
        <f t="shared" si="7"/>
        <v>20220108</v>
      </c>
      <c r="F89" s="6">
        <v>77.62</v>
      </c>
      <c r="G89" s="6">
        <v>99.1</v>
      </c>
      <c r="H89" s="6">
        <v>90.51</v>
      </c>
    </row>
    <row r="90" ht="20" customHeight="1" spans="1:8">
      <c r="A90" s="4">
        <v>88</v>
      </c>
      <c r="B90" s="5" t="str">
        <f>"刘帅"</f>
        <v>刘帅</v>
      </c>
      <c r="C90" s="5"/>
      <c r="D90" s="5" t="str">
        <f>"20228026623"</f>
        <v>20228026623</v>
      </c>
      <c r="E90" s="5" t="str">
        <f t="shared" si="7"/>
        <v>20220108</v>
      </c>
      <c r="F90" s="6">
        <v>76.69</v>
      </c>
      <c r="G90" s="6">
        <v>99.7</v>
      </c>
      <c r="H90" s="6">
        <v>90.5</v>
      </c>
    </row>
    <row r="91" ht="20" customHeight="1" spans="1:8">
      <c r="A91" s="4">
        <v>89</v>
      </c>
      <c r="B91" s="5" t="str">
        <f>"宋晓利"</f>
        <v>宋晓利</v>
      </c>
      <c r="C91" s="5"/>
      <c r="D91" s="5" t="str">
        <f>"20228026617"</f>
        <v>20228026617</v>
      </c>
      <c r="E91" s="5" t="str">
        <f t="shared" si="7"/>
        <v>20220108</v>
      </c>
      <c r="F91" s="6">
        <v>70.54</v>
      </c>
      <c r="G91" s="6">
        <v>93</v>
      </c>
      <c r="H91" s="6">
        <v>84.02</v>
      </c>
    </row>
    <row r="92" ht="20" customHeight="1" spans="1:8">
      <c r="A92" s="4">
        <v>90</v>
      </c>
      <c r="B92" s="5" t="str">
        <f>"张烨"</f>
        <v>张烨</v>
      </c>
      <c r="C92" s="5"/>
      <c r="D92" s="5" t="str">
        <f>"20228026129"</f>
        <v>20228026129</v>
      </c>
      <c r="E92" s="5" t="str">
        <f t="shared" ref="E92:E107" si="8">"20220109"</f>
        <v>20220109</v>
      </c>
      <c r="F92" s="6">
        <v>92.47</v>
      </c>
      <c r="G92" s="6">
        <v>103.5</v>
      </c>
      <c r="H92" s="6">
        <v>99.09</v>
      </c>
    </row>
    <row r="93" ht="20" customHeight="1" spans="1:8">
      <c r="A93" s="4">
        <v>91</v>
      </c>
      <c r="B93" s="5" t="str">
        <f>"李士林"</f>
        <v>李士林</v>
      </c>
      <c r="C93" s="5"/>
      <c r="D93" s="5" t="str">
        <f>"20228026128"</f>
        <v>20228026128</v>
      </c>
      <c r="E93" s="5" t="str">
        <f t="shared" si="8"/>
        <v>20220109</v>
      </c>
      <c r="F93" s="6">
        <v>94.99</v>
      </c>
      <c r="G93" s="6">
        <v>91.9</v>
      </c>
      <c r="H93" s="6">
        <v>93.14</v>
      </c>
    </row>
    <row r="94" ht="20" customHeight="1" spans="1:8">
      <c r="A94" s="4">
        <v>92</v>
      </c>
      <c r="B94" s="5" t="str">
        <f>"于玲"</f>
        <v>于玲</v>
      </c>
      <c r="C94" s="5"/>
      <c r="D94" s="5" t="str">
        <f>"20228026209"</f>
        <v>20228026209</v>
      </c>
      <c r="E94" s="5" t="str">
        <f t="shared" si="8"/>
        <v>20220109</v>
      </c>
      <c r="F94" s="6">
        <v>81.85</v>
      </c>
      <c r="G94" s="6">
        <v>99.7</v>
      </c>
      <c r="H94" s="6">
        <v>92.56</v>
      </c>
    </row>
    <row r="95" ht="20" customHeight="1" spans="1:8">
      <c r="A95" s="4">
        <v>93</v>
      </c>
      <c r="B95" s="5" t="str">
        <f>"王倩"</f>
        <v>王倩</v>
      </c>
      <c r="C95" s="5"/>
      <c r="D95" s="5" t="str">
        <f>"20228026203"</f>
        <v>20228026203</v>
      </c>
      <c r="E95" s="5" t="str">
        <f t="shared" si="8"/>
        <v>20220109</v>
      </c>
      <c r="F95" s="6">
        <v>86.17</v>
      </c>
      <c r="G95" s="6">
        <v>92.6</v>
      </c>
      <c r="H95" s="6">
        <v>90.03</v>
      </c>
    </row>
    <row r="96" ht="20" customHeight="1" spans="1:8">
      <c r="A96" s="4">
        <v>94</v>
      </c>
      <c r="B96" s="5" t="str">
        <f>"曾恒"</f>
        <v>曾恒</v>
      </c>
      <c r="C96" s="5"/>
      <c r="D96" s="5" t="str">
        <f>"20228026212"</f>
        <v>20228026212</v>
      </c>
      <c r="E96" s="5" t="str">
        <f t="shared" si="8"/>
        <v>20220109</v>
      </c>
      <c r="F96" s="6">
        <v>87.03</v>
      </c>
      <c r="G96" s="6">
        <v>91.8</v>
      </c>
      <c r="H96" s="6">
        <v>89.89</v>
      </c>
    </row>
    <row r="97" ht="20" customHeight="1" spans="1:8">
      <c r="A97" s="4">
        <v>95</v>
      </c>
      <c r="B97" s="5" t="str">
        <f>"马婉君"</f>
        <v>马婉君</v>
      </c>
      <c r="C97" s="5"/>
      <c r="D97" s="5" t="str">
        <f>"20228026210"</f>
        <v>20228026210</v>
      </c>
      <c r="E97" s="5" t="str">
        <f t="shared" si="8"/>
        <v>20220109</v>
      </c>
      <c r="F97" s="6">
        <v>82.75</v>
      </c>
      <c r="G97" s="6">
        <v>73.2</v>
      </c>
      <c r="H97" s="6">
        <v>77.02</v>
      </c>
    </row>
    <row r="98" ht="20" customHeight="1" spans="1:8">
      <c r="A98" s="4">
        <v>96</v>
      </c>
      <c r="B98" s="5" t="str">
        <f>"黄海汝"</f>
        <v>黄海汝</v>
      </c>
      <c r="C98" s="5"/>
      <c r="D98" s="5" t="str">
        <f>"20228027315"</f>
        <v>20228027315</v>
      </c>
      <c r="E98" s="5" t="str">
        <f>"20220110"</f>
        <v>20220110</v>
      </c>
      <c r="F98" s="6">
        <v>80.23</v>
      </c>
      <c r="G98" s="6">
        <v>89.2</v>
      </c>
      <c r="H98" s="6">
        <v>85.61</v>
      </c>
    </row>
    <row r="99" ht="20" customHeight="1" spans="1:8">
      <c r="A99" s="4">
        <v>97</v>
      </c>
      <c r="B99" s="5" t="str">
        <f>"赵越"</f>
        <v>赵越</v>
      </c>
      <c r="C99" s="5"/>
      <c r="D99" s="5" t="str">
        <f>"20228027301"</f>
        <v>20228027301</v>
      </c>
      <c r="E99" s="5" t="str">
        <f>"20220110"</f>
        <v>20220110</v>
      </c>
      <c r="F99" s="6">
        <v>74.38</v>
      </c>
      <c r="G99" s="6">
        <v>91.1</v>
      </c>
      <c r="H99" s="6">
        <v>84.41</v>
      </c>
    </row>
    <row r="100" ht="20" customHeight="1" spans="1:8">
      <c r="A100" s="4">
        <v>98</v>
      </c>
      <c r="B100" s="5" t="str">
        <f>"高超然"</f>
        <v>高超然</v>
      </c>
      <c r="C100" s="5"/>
      <c r="D100" s="5" t="str">
        <f>"20228027318"</f>
        <v>20228027318</v>
      </c>
      <c r="E100" s="5" t="str">
        <f>"20220110"</f>
        <v>20220110</v>
      </c>
      <c r="F100" s="6">
        <v>75.44</v>
      </c>
      <c r="G100" s="6">
        <v>89</v>
      </c>
      <c r="H100" s="6">
        <v>83.58</v>
      </c>
    </row>
    <row r="101" ht="20" customHeight="1" spans="1:8">
      <c r="A101" s="4">
        <v>99</v>
      </c>
      <c r="B101" s="5" t="str">
        <f>"盛悦"</f>
        <v>盛悦</v>
      </c>
      <c r="C101" s="5"/>
      <c r="D101" s="5" t="str">
        <f>"20228023021"</f>
        <v>20228023021</v>
      </c>
      <c r="E101" s="5" t="str">
        <f t="shared" ref="E101:E164" si="9">"20220201"</f>
        <v>20220201</v>
      </c>
      <c r="F101" s="6">
        <v>95.64</v>
      </c>
      <c r="G101" s="6">
        <v>99.7</v>
      </c>
      <c r="H101" s="6">
        <v>98.08</v>
      </c>
    </row>
    <row r="102" ht="20" customHeight="1" spans="1:8">
      <c r="A102" s="4">
        <v>100</v>
      </c>
      <c r="B102" s="5" t="str">
        <f>"张雨晴"</f>
        <v>张雨晴</v>
      </c>
      <c r="C102" s="5"/>
      <c r="D102" s="5" t="str">
        <f>"20228022719"</f>
        <v>20228022719</v>
      </c>
      <c r="E102" s="5" t="str">
        <f t="shared" si="9"/>
        <v>20220201</v>
      </c>
      <c r="F102" s="6">
        <v>99.67</v>
      </c>
      <c r="G102" s="6">
        <v>93.6</v>
      </c>
      <c r="H102" s="6">
        <v>96.03</v>
      </c>
    </row>
    <row r="103" ht="20" customHeight="1" spans="1:8">
      <c r="A103" s="4">
        <v>101</v>
      </c>
      <c r="B103" s="5" t="str">
        <f>"赵若男"</f>
        <v>赵若男</v>
      </c>
      <c r="C103" s="5"/>
      <c r="D103" s="5" t="str">
        <f>"20228022718"</f>
        <v>20228022718</v>
      </c>
      <c r="E103" s="5" t="str">
        <f t="shared" si="9"/>
        <v>20220201</v>
      </c>
      <c r="F103" s="6">
        <v>87.19</v>
      </c>
      <c r="G103" s="6">
        <v>101.5</v>
      </c>
      <c r="H103" s="6">
        <v>95.78</v>
      </c>
    </row>
    <row r="104" ht="20" customHeight="1" spans="1:8">
      <c r="A104" s="4">
        <v>102</v>
      </c>
      <c r="B104" s="5" t="str">
        <f>"李佳丽"</f>
        <v>李佳丽</v>
      </c>
      <c r="C104" s="5"/>
      <c r="D104" s="5" t="str">
        <f>"20228022614"</f>
        <v>20228022614</v>
      </c>
      <c r="E104" s="5" t="str">
        <f t="shared" si="9"/>
        <v>20220201</v>
      </c>
      <c r="F104" s="6">
        <v>87.25</v>
      </c>
      <c r="G104" s="6">
        <v>101.4</v>
      </c>
      <c r="H104" s="6">
        <v>95.74</v>
      </c>
    </row>
    <row r="105" ht="20" customHeight="1" spans="1:8">
      <c r="A105" s="4">
        <v>103</v>
      </c>
      <c r="B105" s="5" t="str">
        <f>"路鑫"</f>
        <v>路鑫</v>
      </c>
      <c r="C105" s="5"/>
      <c r="D105" s="5" t="str">
        <f>"20228022730"</f>
        <v>20228022730</v>
      </c>
      <c r="E105" s="5" t="str">
        <f t="shared" si="9"/>
        <v>20220201</v>
      </c>
      <c r="F105" s="6">
        <v>88.57</v>
      </c>
      <c r="G105" s="6">
        <v>98.8</v>
      </c>
      <c r="H105" s="6">
        <v>94.71</v>
      </c>
    </row>
    <row r="106" ht="20" customHeight="1" spans="1:8">
      <c r="A106" s="4">
        <v>104</v>
      </c>
      <c r="B106" s="5" t="str">
        <f>"王席席"</f>
        <v>王席席</v>
      </c>
      <c r="C106" s="5"/>
      <c r="D106" s="5" t="str">
        <f>"20228022909"</f>
        <v>20228022909</v>
      </c>
      <c r="E106" s="5" t="str">
        <f t="shared" si="9"/>
        <v>20220201</v>
      </c>
      <c r="F106" s="6">
        <v>94.37</v>
      </c>
      <c r="G106" s="6">
        <v>94.6</v>
      </c>
      <c r="H106" s="6">
        <v>94.51</v>
      </c>
    </row>
    <row r="107" ht="20" customHeight="1" spans="1:8">
      <c r="A107" s="4">
        <v>105</v>
      </c>
      <c r="B107" s="5" t="str">
        <f>"葛平"</f>
        <v>葛平</v>
      </c>
      <c r="C107" s="5"/>
      <c r="D107" s="5" t="str">
        <f>"20228023203"</f>
        <v>20228023203</v>
      </c>
      <c r="E107" s="5" t="str">
        <f t="shared" si="9"/>
        <v>20220201</v>
      </c>
      <c r="F107" s="6">
        <v>91.35</v>
      </c>
      <c r="G107" s="6">
        <v>96.4</v>
      </c>
      <c r="H107" s="6">
        <v>94.38</v>
      </c>
    </row>
    <row r="108" ht="20" customHeight="1" spans="1:8">
      <c r="A108" s="4">
        <v>106</v>
      </c>
      <c r="B108" s="5" t="str">
        <f>"曹长璐"</f>
        <v>曹长璐</v>
      </c>
      <c r="C108" s="5"/>
      <c r="D108" s="5" t="str">
        <f>"20228022807"</f>
        <v>20228022807</v>
      </c>
      <c r="E108" s="5" t="str">
        <f t="shared" si="9"/>
        <v>20220201</v>
      </c>
      <c r="F108" s="6">
        <v>94</v>
      </c>
      <c r="G108" s="6">
        <v>94.6</v>
      </c>
      <c r="H108" s="6">
        <v>94.36</v>
      </c>
    </row>
    <row r="109" ht="20" customHeight="1" spans="1:8">
      <c r="A109" s="4">
        <v>107</v>
      </c>
      <c r="B109" s="5" t="str">
        <f>"周雨晴"</f>
        <v>周雨晴</v>
      </c>
      <c r="C109" s="5"/>
      <c r="D109" s="5" t="str">
        <f>"20228022908"</f>
        <v>20228022908</v>
      </c>
      <c r="E109" s="5" t="str">
        <f t="shared" si="9"/>
        <v>20220201</v>
      </c>
      <c r="F109" s="6">
        <v>93.93</v>
      </c>
      <c r="G109" s="6">
        <v>94.6</v>
      </c>
      <c r="H109" s="6">
        <v>94.33</v>
      </c>
    </row>
    <row r="110" ht="20" customHeight="1" spans="1:8">
      <c r="A110" s="4">
        <v>108</v>
      </c>
      <c r="B110" s="5" t="str">
        <f>"池雨雨"</f>
        <v>池雨雨</v>
      </c>
      <c r="C110" s="5"/>
      <c r="D110" s="5" t="str">
        <f>"20228022911"</f>
        <v>20228022911</v>
      </c>
      <c r="E110" s="5" t="str">
        <f t="shared" si="9"/>
        <v>20220201</v>
      </c>
      <c r="F110" s="6">
        <v>92.72</v>
      </c>
      <c r="G110" s="6">
        <v>95.1</v>
      </c>
      <c r="H110" s="6">
        <v>94.15</v>
      </c>
    </row>
    <row r="111" ht="20" customHeight="1" spans="1:8">
      <c r="A111" s="4">
        <v>109</v>
      </c>
      <c r="B111" s="5" t="str">
        <f>"王天乐"</f>
        <v>王天乐</v>
      </c>
      <c r="C111" s="5"/>
      <c r="D111" s="5" t="str">
        <f>"20228023226"</f>
        <v>20228023226</v>
      </c>
      <c r="E111" s="5" t="str">
        <f t="shared" si="9"/>
        <v>20220201</v>
      </c>
      <c r="F111" s="6">
        <v>90.87</v>
      </c>
      <c r="G111" s="6">
        <v>96.3</v>
      </c>
      <c r="H111" s="6">
        <v>94.13</v>
      </c>
    </row>
    <row r="112" ht="20" customHeight="1" spans="1:8">
      <c r="A112" s="4">
        <v>110</v>
      </c>
      <c r="B112" s="5" t="str">
        <f>"贾晨曦"</f>
        <v>贾晨曦</v>
      </c>
      <c r="C112" s="5"/>
      <c r="D112" s="5" t="str">
        <f>"20228023127"</f>
        <v>20228023127</v>
      </c>
      <c r="E112" s="5" t="str">
        <f t="shared" si="9"/>
        <v>20220201</v>
      </c>
      <c r="F112" s="6">
        <v>93.48</v>
      </c>
      <c r="G112" s="6">
        <v>94.4</v>
      </c>
      <c r="H112" s="6">
        <v>94.03</v>
      </c>
    </row>
    <row r="113" ht="20" customHeight="1" spans="1:8">
      <c r="A113" s="4">
        <v>111</v>
      </c>
      <c r="B113" s="5" t="str">
        <f>"马晴晴"</f>
        <v>马晴晴</v>
      </c>
      <c r="C113" s="5"/>
      <c r="D113" s="5" t="str">
        <f>"20228022924"</f>
        <v>20228022924</v>
      </c>
      <c r="E113" s="5" t="str">
        <f t="shared" si="9"/>
        <v>20220201</v>
      </c>
      <c r="F113" s="6">
        <v>95.85</v>
      </c>
      <c r="G113" s="6">
        <v>92.8</v>
      </c>
      <c r="H113" s="6">
        <v>94.02</v>
      </c>
    </row>
    <row r="114" ht="20" customHeight="1" spans="1:8">
      <c r="A114" s="4">
        <v>112</v>
      </c>
      <c r="B114" s="5" t="str">
        <f>"张艺"</f>
        <v>张艺</v>
      </c>
      <c r="C114" s="5"/>
      <c r="D114" s="5" t="str">
        <f>"20228022710"</f>
        <v>20228022710</v>
      </c>
      <c r="E114" s="5" t="str">
        <f t="shared" si="9"/>
        <v>20220201</v>
      </c>
      <c r="F114" s="6">
        <v>98.32</v>
      </c>
      <c r="G114" s="6">
        <v>91.1</v>
      </c>
      <c r="H114" s="6">
        <v>93.99</v>
      </c>
    </row>
    <row r="115" ht="20" customHeight="1" spans="1:8">
      <c r="A115" s="4">
        <v>113</v>
      </c>
      <c r="B115" s="5" t="str">
        <f>"刘梦茹"</f>
        <v>刘梦茹</v>
      </c>
      <c r="C115" s="5"/>
      <c r="D115" s="5" t="str">
        <f>"20228023224"</f>
        <v>20228023224</v>
      </c>
      <c r="E115" s="5" t="str">
        <f t="shared" si="9"/>
        <v>20220201</v>
      </c>
      <c r="F115" s="6">
        <v>81.99</v>
      </c>
      <c r="G115" s="6">
        <v>101.6</v>
      </c>
      <c r="H115" s="6">
        <v>93.76</v>
      </c>
    </row>
    <row r="116" ht="20" customHeight="1" spans="1:8">
      <c r="A116" s="4">
        <v>114</v>
      </c>
      <c r="B116" s="5" t="str">
        <f>"王馨馨"</f>
        <v>王馨馨</v>
      </c>
      <c r="C116" s="5"/>
      <c r="D116" s="5" t="str">
        <f>"20228023105"</f>
        <v>20228023105</v>
      </c>
      <c r="E116" s="5" t="str">
        <f t="shared" si="9"/>
        <v>20220201</v>
      </c>
      <c r="F116" s="6">
        <v>90.75</v>
      </c>
      <c r="G116" s="6">
        <v>95</v>
      </c>
      <c r="H116" s="6">
        <v>93.3</v>
      </c>
    </row>
    <row r="117" ht="20" customHeight="1" spans="1:8">
      <c r="A117" s="4">
        <v>115</v>
      </c>
      <c r="B117" s="5" t="str">
        <f>"黄心仪"</f>
        <v>黄心仪</v>
      </c>
      <c r="C117" s="5"/>
      <c r="D117" s="5" t="str">
        <f>"20228022623"</f>
        <v>20228022623</v>
      </c>
      <c r="E117" s="5" t="str">
        <f t="shared" si="9"/>
        <v>20220201</v>
      </c>
      <c r="F117" s="6">
        <v>86.06</v>
      </c>
      <c r="G117" s="6">
        <v>98</v>
      </c>
      <c r="H117" s="6">
        <v>93.22</v>
      </c>
    </row>
    <row r="118" ht="20" customHeight="1" spans="1:8">
      <c r="A118" s="4">
        <v>116</v>
      </c>
      <c r="B118" s="5" t="str">
        <f>"楚山山"</f>
        <v>楚山山</v>
      </c>
      <c r="C118" s="5"/>
      <c r="D118" s="5" t="str">
        <f>"20228023208"</f>
        <v>20228023208</v>
      </c>
      <c r="E118" s="5" t="str">
        <f t="shared" si="9"/>
        <v>20220201</v>
      </c>
      <c r="F118" s="6">
        <v>90.91</v>
      </c>
      <c r="G118" s="6">
        <v>94.7</v>
      </c>
      <c r="H118" s="6">
        <v>93.18</v>
      </c>
    </row>
    <row r="119" ht="20" customHeight="1" spans="1:8">
      <c r="A119" s="4">
        <v>117</v>
      </c>
      <c r="B119" s="5" t="str">
        <f>"刘静茹"</f>
        <v>刘静茹</v>
      </c>
      <c r="C119" s="5"/>
      <c r="D119" s="5" t="str">
        <f>"20228023207"</f>
        <v>20228023207</v>
      </c>
      <c r="E119" s="5" t="str">
        <f t="shared" si="9"/>
        <v>20220201</v>
      </c>
      <c r="F119" s="6">
        <v>95.35</v>
      </c>
      <c r="G119" s="6">
        <v>91.7</v>
      </c>
      <c r="H119" s="6">
        <v>93.16</v>
      </c>
    </row>
    <row r="120" ht="20" customHeight="1" spans="1:8">
      <c r="A120" s="4">
        <v>118</v>
      </c>
      <c r="B120" s="5" t="str">
        <f>"马文君"</f>
        <v>马文君</v>
      </c>
      <c r="C120" s="5"/>
      <c r="D120" s="5" t="str">
        <f>"20228023122"</f>
        <v>20228023122</v>
      </c>
      <c r="E120" s="5" t="str">
        <f t="shared" si="9"/>
        <v>20220201</v>
      </c>
      <c r="F120" s="6">
        <v>86.31</v>
      </c>
      <c r="G120" s="6">
        <v>97.7</v>
      </c>
      <c r="H120" s="6">
        <v>93.14</v>
      </c>
    </row>
    <row r="121" ht="20" customHeight="1" spans="1:8">
      <c r="A121" s="4">
        <v>119</v>
      </c>
      <c r="B121" s="5" t="str">
        <f>"陈雪晴"</f>
        <v>陈雪晴</v>
      </c>
      <c r="C121" s="5"/>
      <c r="D121" s="5" t="str">
        <f>"20228023216"</f>
        <v>20228023216</v>
      </c>
      <c r="E121" s="5" t="str">
        <f t="shared" si="9"/>
        <v>20220201</v>
      </c>
      <c r="F121" s="6">
        <v>93.78</v>
      </c>
      <c r="G121" s="6">
        <v>92.7</v>
      </c>
      <c r="H121" s="6">
        <v>93.13</v>
      </c>
    </row>
    <row r="122" ht="20" customHeight="1" spans="1:8">
      <c r="A122" s="4">
        <v>120</v>
      </c>
      <c r="B122" s="5" t="str">
        <f>"张二成"</f>
        <v>张二成</v>
      </c>
      <c r="C122" s="5"/>
      <c r="D122" s="5" t="str">
        <f>"20228022820"</f>
        <v>20228022820</v>
      </c>
      <c r="E122" s="5" t="str">
        <f t="shared" si="9"/>
        <v>20220201</v>
      </c>
      <c r="F122" s="6">
        <v>88.51</v>
      </c>
      <c r="G122" s="6">
        <v>95.9</v>
      </c>
      <c r="H122" s="6">
        <v>92.94</v>
      </c>
    </row>
    <row r="123" ht="20" customHeight="1" spans="1:8">
      <c r="A123" s="4">
        <v>121</v>
      </c>
      <c r="B123" s="5" t="str">
        <f>"王思雅"</f>
        <v>王思雅</v>
      </c>
      <c r="C123" s="5"/>
      <c r="D123" s="5" t="str">
        <f>"20228023802"</f>
        <v>20228023802</v>
      </c>
      <c r="E123" s="5" t="str">
        <f t="shared" ref="E123:E186" si="10">"20220202"</f>
        <v>20220202</v>
      </c>
      <c r="F123" s="6">
        <v>92.44</v>
      </c>
      <c r="G123" s="6">
        <v>94.7</v>
      </c>
      <c r="H123" s="6">
        <v>93.8</v>
      </c>
    </row>
    <row r="124" ht="20" customHeight="1" spans="1:8">
      <c r="A124" s="4">
        <v>122</v>
      </c>
      <c r="B124" s="5" t="str">
        <f>"张蕾"</f>
        <v>张蕾</v>
      </c>
      <c r="C124" s="5"/>
      <c r="D124" s="5" t="str">
        <f>"20228024016"</f>
        <v>20228024016</v>
      </c>
      <c r="E124" s="5" t="str">
        <f t="shared" si="10"/>
        <v>20220202</v>
      </c>
      <c r="F124" s="6">
        <v>86.08</v>
      </c>
      <c r="G124" s="6">
        <v>95.4</v>
      </c>
      <c r="H124" s="6">
        <v>91.67</v>
      </c>
    </row>
    <row r="125" ht="20" customHeight="1" spans="1:8">
      <c r="A125" s="4">
        <v>123</v>
      </c>
      <c r="B125" s="5" t="str">
        <f>"李莹莹"</f>
        <v>李莹莹</v>
      </c>
      <c r="C125" s="5"/>
      <c r="D125" s="5" t="str">
        <f>"20228023619"</f>
        <v>20228023619</v>
      </c>
      <c r="E125" s="5" t="str">
        <f t="shared" si="10"/>
        <v>20220202</v>
      </c>
      <c r="F125" s="6">
        <v>90.3</v>
      </c>
      <c r="G125" s="6">
        <v>92</v>
      </c>
      <c r="H125" s="6">
        <v>91.32</v>
      </c>
    </row>
    <row r="126" ht="20" customHeight="1" spans="1:8">
      <c r="A126" s="4">
        <v>124</v>
      </c>
      <c r="B126" s="5" t="str">
        <f>"董迎港"</f>
        <v>董迎港</v>
      </c>
      <c r="C126" s="5"/>
      <c r="D126" s="5" t="str">
        <f>"20228023614"</f>
        <v>20228023614</v>
      </c>
      <c r="E126" s="5" t="str">
        <f t="shared" si="10"/>
        <v>20220202</v>
      </c>
      <c r="F126" s="6">
        <v>75.5</v>
      </c>
      <c r="G126" s="6">
        <v>100.6</v>
      </c>
      <c r="H126" s="6">
        <v>90.56</v>
      </c>
    </row>
    <row r="127" ht="20" customHeight="1" spans="1:8">
      <c r="A127" s="4">
        <v>125</v>
      </c>
      <c r="B127" s="5" t="str">
        <f>"完颜文静"</f>
        <v>完颜文静</v>
      </c>
      <c r="C127" s="5"/>
      <c r="D127" s="5" t="str">
        <f>"20228023904"</f>
        <v>20228023904</v>
      </c>
      <c r="E127" s="5" t="str">
        <f t="shared" si="10"/>
        <v>20220202</v>
      </c>
      <c r="F127" s="6">
        <v>94.96</v>
      </c>
      <c r="G127" s="6">
        <v>83.7</v>
      </c>
      <c r="H127" s="6">
        <v>88.2</v>
      </c>
    </row>
    <row r="128" ht="20" customHeight="1" spans="1:8">
      <c r="A128" s="4">
        <v>126</v>
      </c>
      <c r="B128" s="5" t="str">
        <f>"童小翠"</f>
        <v>童小翠</v>
      </c>
      <c r="C128" s="5"/>
      <c r="D128" s="5" t="str">
        <f>"20228023822"</f>
        <v>20228023822</v>
      </c>
      <c r="E128" s="5" t="str">
        <f t="shared" si="10"/>
        <v>20220202</v>
      </c>
      <c r="F128" s="6">
        <v>95.33</v>
      </c>
      <c r="G128" s="6">
        <v>83.2</v>
      </c>
      <c r="H128" s="6">
        <v>88.05</v>
      </c>
    </row>
    <row r="129" ht="20" customHeight="1" spans="1:8">
      <c r="A129" s="4">
        <v>127</v>
      </c>
      <c r="B129" s="5" t="str">
        <f>"慕莎莎"</f>
        <v>慕莎莎</v>
      </c>
      <c r="C129" s="5"/>
      <c r="D129" s="5" t="str">
        <f>"20228023807"</f>
        <v>20228023807</v>
      </c>
      <c r="E129" s="5" t="str">
        <f t="shared" si="10"/>
        <v>20220202</v>
      </c>
      <c r="F129" s="6">
        <v>72.63</v>
      </c>
      <c r="G129" s="6">
        <v>95</v>
      </c>
      <c r="H129" s="6">
        <v>86.05</v>
      </c>
    </row>
    <row r="130" ht="20" customHeight="1" spans="1:8">
      <c r="A130" s="4">
        <v>128</v>
      </c>
      <c r="B130" s="5" t="str">
        <f>"陈梦茹"</f>
        <v>陈梦茹</v>
      </c>
      <c r="C130" s="5"/>
      <c r="D130" s="5" t="str">
        <f>"20228023814"</f>
        <v>20228023814</v>
      </c>
      <c r="E130" s="5" t="str">
        <f t="shared" si="10"/>
        <v>20220202</v>
      </c>
      <c r="F130" s="6">
        <v>95.43</v>
      </c>
      <c r="G130" s="6">
        <v>79.8</v>
      </c>
      <c r="H130" s="6">
        <v>86.05</v>
      </c>
    </row>
    <row r="131" ht="20" customHeight="1" spans="1:8">
      <c r="A131" s="4">
        <v>129</v>
      </c>
      <c r="B131" s="5" t="str">
        <f>"马云标"</f>
        <v>马云标</v>
      </c>
      <c r="C131" s="5"/>
      <c r="D131" s="5" t="str">
        <f>"20228023803"</f>
        <v>20228023803</v>
      </c>
      <c r="E131" s="5" t="str">
        <f t="shared" si="10"/>
        <v>20220202</v>
      </c>
      <c r="F131" s="6">
        <v>84.87</v>
      </c>
      <c r="G131" s="6">
        <v>86.4</v>
      </c>
      <c r="H131" s="6">
        <v>85.79</v>
      </c>
    </row>
    <row r="132" ht="20" customHeight="1" spans="1:8">
      <c r="A132" s="4">
        <v>130</v>
      </c>
      <c r="B132" s="5" t="str">
        <f>"王中山"</f>
        <v>王中山</v>
      </c>
      <c r="C132" s="5"/>
      <c r="D132" s="5" t="str">
        <f>"20228023705"</f>
        <v>20228023705</v>
      </c>
      <c r="E132" s="5" t="str">
        <f t="shared" si="10"/>
        <v>20220202</v>
      </c>
      <c r="F132" s="6">
        <v>72.66</v>
      </c>
      <c r="G132" s="6">
        <v>94.4</v>
      </c>
      <c r="H132" s="6">
        <v>85.7</v>
      </c>
    </row>
    <row r="133" ht="20" customHeight="1" spans="1:8">
      <c r="A133" s="4">
        <v>131</v>
      </c>
      <c r="B133" s="5" t="str">
        <f>"周文君"</f>
        <v>周文君</v>
      </c>
      <c r="C133" s="5"/>
      <c r="D133" s="5" t="str">
        <f>"20228023618"</f>
        <v>20228023618</v>
      </c>
      <c r="E133" s="5" t="str">
        <f t="shared" si="10"/>
        <v>20220202</v>
      </c>
      <c r="F133" s="6">
        <v>87.51</v>
      </c>
      <c r="G133" s="6">
        <v>82.9</v>
      </c>
      <c r="H133" s="6">
        <v>84.74</v>
      </c>
    </row>
    <row r="134" ht="20" customHeight="1" spans="1:8">
      <c r="A134" s="4">
        <v>132</v>
      </c>
      <c r="B134" s="5" t="str">
        <f>"李晨晨"</f>
        <v>李晨晨</v>
      </c>
      <c r="C134" s="5"/>
      <c r="D134" s="5" t="str">
        <f>"20228024001"</f>
        <v>20228024001</v>
      </c>
      <c r="E134" s="5" t="str">
        <f t="shared" si="10"/>
        <v>20220202</v>
      </c>
      <c r="F134" s="6">
        <v>90.21</v>
      </c>
      <c r="G134" s="6">
        <v>80.7</v>
      </c>
      <c r="H134" s="6">
        <v>84.5</v>
      </c>
    </row>
    <row r="135" ht="20" customHeight="1" spans="1:8">
      <c r="A135" s="4">
        <v>133</v>
      </c>
      <c r="B135" s="5" t="str">
        <f>"于素雅"</f>
        <v>于素雅</v>
      </c>
      <c r="C135" s="5"/>
      <c r="D135" s="5" t="str">
        <f>"20228023925"</f>
        <v>20228023925</v>
      </c>
      <c r="E135" s="5" t="str">
        <f t="shared" si="10"/>
        <v>20220202</v>
      </c>
      <c r="F135" s="6">
        <v>85.1</v>
      </c>
      <c r="G135" s="6">
        <v>83.4</v>
      </c>
      <c r="H135" s="6">
        <v>84.08</v>
      </c>
    </row>
    <row r="136" ht="20" customHeight="1" spans="1:8">
      <c r="A136" s="4">
        <v>134</v>
      </c>
      <c r="B136" s="5" t="str">
        <f>"张超凡"</f>
        <v>张超凡</v>
      </c>
      <c r="C136" s="5"/>
      <c r="D136" s="5" t="str">
        <f>"20228024002"</f>
        <v>20228024002</v>
      </c>
      <c r="E136" s="5" t="str">
        <f t="shared" si="10"/>
        <v>20220202</v>
      </c>
      <c r="F136" s="6">
        <v>75.85</v>
      </c>
      <c r="G136" s="6">
        <v>89.3</v>
      </c>
      <c r="H136" s="6">
        <v>83.92</v>
      </c>
    </row>
    <row r="137" ht="20" customHeight="1" spans="1:8">
      <c r="A137" s="4">
        <v>135</v>
      </c>
      <c r="B137" s="5" t="str">
        <f>"刘青青"</f>
        <v>刘青青</v>
      </c>
      <c r="C137" s="5"/>
      <c r="D137" s="5" t="str">
        <f>"20228023707"</f>
        <v>20228023707</v>
      </c>
      <c r="E137" s="5" t="str">
        <f t="shared" si="10"/>
        <v>20220202</v>
      </c>
      <c r="F137" s="6">
        <v>97.55</v>
      </c>
      <c r="G137" s="6">
        <v>73.6</v>
      </c>
      <c r="H137" s="6">
        <v>83.18</v>
      </c>
    </row>
    <row r="138" ht="20" customHeight="1" spans="1:8">
      <c r="A138" s="4">
        <v>136</v>
      </c>
      <c r="B138" s="5" t="str">
        <f>"田玉莹"</f>
        <v>田玉莹</v>
      </c>
      <c r="C138" s="5"/>
      <c r="D138" s="5" t="str">
        <f>"20228023911"</f>
        <v>20228023911</v>
      </c>
      <c r="E138" s="5" t="str">
        <f t="shared" si="10"/>
        <v>20220202</v>
      </c>
      <c r="F138" s="6">
        <v>76.23</v>
      </c>
      <c r="G138" s="6">
        <v>87.6</v>
      </c>
      <c r="H138" s="6">
        <v>83.05</v>
      </c>
    </row>
    <row r="139" ht="20" customHeight="1" spans="1:8">
      <c r="A139" s="4">
        <v>137</v>
      </c>
      <c r="B139" s="5" t="str">
        <f>"乔竟竟"</f>
        <v>乔竟竟</v>
      </c>
      <c r="C139" s="5"/>
      <c r="D139" s="5" t="str">
        <f>"20228023914"</f>
        <v>20228023914</v>
      </c>
      <c r="E139" s="5" t="str">
        <f t="shared" si="10"/>
        <v>20220202</v>
      </c>
      <c r="F139" s="6">
        <v>84.68</v>
      </c>
      <c r="G139" s="6">
        <v>81.1</v>
      </c>
      <c r="H139" s="6">
        <v>82.53</v>
      </c>
    </row>
    <row r="140" ht="20" customHeight="1" spans="1:8">
      <c r="A140" s="4">
        <v>138</v>
      </c>
      <c r="B140" s="5" t="str">
        <f>"纪艳艳"</f>
        <v>纪艳艳</v>
      </c>
      <c r="C140" s="5"/>
      <c r="D140" s="5" t="str">
        <f>"20228023808"</f>
        <v>20228023808</v>
      </c>
      <c r="E140" s="5" t="str">
        <f t="shared" si="10"/>
        <v>20220202</v>
      </c>
      <c r="F140" s="6">
        <v>85.55</v>
      </c>
      <c r="G140" s="6">
        <v>80</v>
      </c>
      <c r="H140" s="6">
        <v>82.22</v>
      </c>
    </row>
    <row r="141" ht="20" customHeight="1" spans="1:8">
      <c r="A141" s="4">
        <v>139</v>
      </c>
      <c r="B141" s="5" t="str">
        <f>"冯雨晴"</f>
        <v>冯雨晴</v>
      </c>
      <c r="C141" s="5"/>
      <c r="D141" s="5" t="str">
        <f>"20228023621"</f>
        <v>20228023621</v>
      </c>
      <c r="E141" s="5" t="str">
        <f t="shared" si="10"/>
        <v>20220202</v>
      </c>
      <c r="F141" s="6">
        <v>84.57</v>
      </c>
      <c r="G141" s="6">
        <v>80.3</v>
      </c>
      <c r="H141" s="6">
        <v>82.01</v>
      </c>
    </row>
    <row r="142" ht="20" customHeight="1" spans="1:8">
      <c r="A142" s="4">
        <v>140</v>
      </c>
      <c r="B142" s="5" t="str">
        <f>"韩天珠"</f>
        <v>韩天珠</v>
      </c>
      <c r="C142" s="5"/>
      <c r="D142" s="5" t="str">
        <f>"20228023708"</f>
        <v>20228023708</v>
      </c>
      <c r="E142" s="5" t="str">
        <f t="shared" si="10"/>
        <v>20220202</v>
      </c>
      <c r="F142" s="6">
        <v>75.84</v>
      </c>
      <c r="G142" s="6">
        <v>85.6</v>
      </c>
      <c r="H142" s="6">
        <v>81.7</v>
      </c>
    </row>
    <row r="143" ht="20" customHeight="1" spans="1:8">
      <c r="A143" s="4">
        <v>141</v>
      </c>
      <c r="B143" s="5" t="str">
        <f>"李皊皊"</f>
        <v>李皊皊</v>
      </c>
      <c r="C143" s="5"/>
      <c r="D143" s="5" t="str">
        <f>"20228024008"</f>
        <v>20228024008</v>
      </c>
      <c r="E143" s="5" t="str">
        <f t="shared" si="10"/>
        <v>20220202</v>
      </c>
      <c r="F143" s="6">
        <v>83.63</v>
      </c>
      <c r="G143" s="6">
        <v>79.8</v>
      </c>
      <c r="H143" s="6">
        <v>81.33</v>
      </c>
    </row>
    <row r="144" ht="20" customHeight="1" spans="1:8">
      <c r="A144" s="4">
        <v>142</v>
      </c>
      <c r="B144" s="5" t="str">
        <f>"苗云龙"</f>
        <v>苗云龙</v>
      </c>
      <c r="C144" s="5"/>
      <c r="D144" s="5" t="str">
        <f>"20228023907"</f>
        <v>20228023907</v>
      </c>
      <c r="E144" s="5" t="str">
        <f t="shared" si="10"/>
        <v>20220202</v>
      </c>
      <c r="F144" s="6">
        <v>88.06</v>
      </c>
      <c r="G144" s="6">
        <v>75.7</v>
      </c>
      <c r="H144" s="6">
        <v>80.64</v>
      </c>
    </row>
    <row r="145" ht="20" customHeight="1" spans="1:8">
      <c r="A145" s="4">
        <v>143</v>
      </c>
      <c r="B145" s="5" t="str">
        <f>"王悦"</f>
        <v>王悦</v>
      </c>
      <c r="C145" s="5"/>
      <c r="D145" s="5" t="str">
        <f>"20228024815"</f>
        <v>20228024815</v>
      </c>
      <c r="E145" s="5" t="str">
        <f t="shared" ref="E145:E166" si="11">"20220203"</f>
        <v>20220203</v>
      </c>
      <c r="F145" s="6">
        <v>103.86</v>
      </c>
      <c r="G145" s="6">
        <v>105.1</v>
      </c>
      <c r="H145" s="6">
        <v>104.6</v>
      </c>
    </row>
    <row r="146" ht="20" customHeight="1" spans="1:8">
      <c r="A146" s="4">
        <v>144</v>
      </c>
      <c r="B146" s="5" t="str">
        <f>"胡佳慧"</f>
        <v>胡佳慧</v>
      </c>
      <c r="C146" s="5"/>
      <c r="D146" s="5" t="str">
        <f>"20228025410"</f>
        <v>20228025410</v>
      </c>
      <c r="E146" s="5" t="str">
        <f t="shared" si="11"/>
        <v>20220203</v>
      </c>
      <c r="F146" s="6">
        <v>97.28</v>
      </c>
      <c r="G146" s="6">
        <v>109.3</v>
      </c>
      <c r="H146" s="6">
        <v>104.49</v>
      </c>
    </row>
    <row r="147" ht="20" customHeight="1" spans="1:8">
      <c r="A147" s="4">
        <v>145</v>
      </c>
      <c r="B147" s="5" t="str">
        <f>"周娟"</f>
        <v>周娟</v>
      </c>
      <c r="C147" s="5"/>
      <c r="D147" s="5" t="str">
        <f>"20228025005"</f>
        <v>20228025005</v>
      </c>
      <c r="E147" s="5" t="str">
        <f t="shared" si="11"/>
        <v>20220203</v>
      </c>
      <c r="F147" s="6">
        <v>95.65</v>
      </c>
      <c r="G147" s="6">
        <v>108.9</v>
      </c>
      <c r="H147" s="6">
        <v>103.6</v>
      </c>
    </row>
    <row r="148" ht="20" customHeight="1" spans="1:8">
      <c r="A148" s="4">
        <v>146</v>
      </c>
      <c r="B148" s="5" t="str">
        <f>"李明慧"</f>
        <v>李明慧</v>
      </c>
      <c r="C148" s="5"/>
      <c r="D148" s="5" t="str">
        <f>"20228025406"</f>
        <v>20228025406</v>
      </c>
      <c r="E148" s="5" t="str">
        <f t="shared" si="11"/>
        <v>20220203</v>
      </c>
      <c r="F148" s="6">
        <v>99.58</v>
      </c>
      <c r="G148" s="6">
        <v>105.9</v>
      </c>
      <c r="H148" s="6">
        <v>103.37</v>
      </c>
    </row>
    <row r="149" ht="20" customHeight="1" spans="1:8">
      <c r="A149" s="4">
        <v>147</v>
      </c>
      <c r="B149" s="5" t="str">
        <f>"高慧"</f>
        <v>高慧</v>
      </c>
      <c r="C149" s="5"/>
      <c r="D149" s="5" t="str">
        <f>"20228024622"</f>
        <v>20228024622</v>
      </c>
      <c r="E149" s="5" t="str">
        <f t="shared" si="11"/>
        <v>20220203</v>
      </c>
      <c r="F149" s="6">
        <v>97.57</v>
      </c>
      <c r="G149" s="6">
        <v>106</v>
      </c>
      <c r="H149" s="6">
        <v>102.63</v>
      </c>
    </row>
    <row r="150" ht="20" customHeight="1" spans="1:8">
      <c r="A150" s="4">
        <v>148</v>
      </c>
      <c r="B150" s="5" t="str">
        <f>"杨瑞琪"</f>
        <v>杨瑞琪</v>
      </c>
      <c r="C150" s="5"/>
      <c r="D150" s="5" t="str">
        <f>"20228025104"</f>
        <v>20228025104</v>
      </c>
      <c r="E150" s="5" t="str">
        <f t="shared" si="11"/>
        <v>20220203</v>
      </c>
      <c r="F150" s="6">
        <v>101.03</v>
      </c>
      <c r="G150" s="6">
        <v>102.9</v>
      </c>
      <c r="H150" s="6">
        <v>102.15</v>
      </c>
    </row>
    <row r="151" ht="20" customHeight="1" spans="1:8">
      <c r="A151" s="4">
        <v>149</v>
      </c>
      <c r="B151" s="5" t="str">
        <f>"张苗苗"</f>
        <v>张苗苗</v>
      </c>
      <c r="C151" s="5"/>
      <c r="D151" s="5" t="str">
        <f>"20228025318"</f>
        <v>20228025318</v>
      </c>
      <c r="E151" s="5" t="str">
        <f t="shared" si="11"/>
        <v>20220203</v>
      </c>
      <c r="F151" s="6">
        <v>89.95</v>
      </c>
      <c r="G151" s="6">
        <v>109.8</v>
      </c>
      <c r="H151" s="6">
        <v>101.86</v>
      </c>
    </row>
    <row r="152" ht="20" customHeight="1" spans="1:8">
      <c r="A152" s="4">
        <v>150</v>
      </c>
      <c r="B152" s="5" t="str">
        <f>"宋丹丹"</f>
        <v>宋丹丹</v>
      </c>
      <c r="C152" s="5"/>
      <c r="D152" s="5" t="str">
        <f>"20228024917"</f>
        <v>20228024917</v>
      </c>
      <c r="E152" s="5" t="str">
        <f t="shared" si="11"/>
        <v>20220203</v>
      </c>
      <c r="F152" s="6">
        <v>94.27</v>
      </c>
      <c r="G152" s="6">
        <v>106.9</v>
      </c>
      <c r="H152" s="6">
        <v>101.85</v>
      </c>
    </row>
    <row r="153" ht="20" customHeight="1" spans="1:8">
      <c r="A153" s="4">
        <v>151</v>
      </c>
      <c r="B153" s="5" t="str">
        <f>"郝晗钰"</f>
        <v>郝晗钰</v>
      </c>
      <c r="C153" s="5"/>
      <c r="D153" s="5" t="str">
        <f>"20228025411"</f>
        <v>20228025411</v>
      </c>
      <c r="E153" s="5" t="str">
        <f t="shared" si="11"/>
        <v>20220203</v>
      </c>
      <c r="F153" s="6">
        <v>95.69</v>
      </c>
      <c r="G153" s="6">
        <v>105.8</v>
      </c>
      <c r="H153" s="6">
        <v>101.76</v>
      </c>
    </row>
    <row r="154" ht="20" customHeight="1" spans="1:8">
      <c r="A154" s="4">
        <v>152</v>
      </c>
      <c r="B154" s="5" t="str">
        <f>"陆琰琰"</f>
        <v>陆琰琰</v>
      </c>
      <c r="C154" s="5"/>
      <c r="D154" s="5" t="str">
        <f>"20228024627"</f>
        <v>20228024627</v>
      </c>
      <c r="E154" s="5" t="str">
        <f t="shared" si="11"/>
        <v>20220203</v>
      </c>
      <c r="F154" s="6">
        <v>91.87</v>
      </c>
      <c r="G154" s="6">
        <v>107.6</v>
      </c>
      <c r="H154" s="6">
        <v>101.31</v>
      </c>
    </row>
    <row r="155" ht="20" customHeight="1" spans="1:8">
      <c r="A155" s="4">
        <v>153</v>
      </c>
      <c r="B155" s="5" t="str">
        <f>"潘情情"</f>
        <v>潘情情</v>
      </c>
      <c r="C155" s="5"/>
      <c r="D155" s="5" t="str">
        <f>"20228025422"</f>
        <v>20228025422</v>
      </c>
      <c r="E155" s="5" t="str">
        <f t="shared" si="11"/>
        <v>20220203</v>
      </c>
      <c r="F155" s="6">
        <v>95.74</v>
      </c>
      <c r="G155" s="6">
        <v>104.6</v>
      </c>
      <c r="H155" s="6">
        <v>101.06</v>
      </c>
    </row>
    <row r="156" ht="20" customHeight="1" spans="1:8">
      <c r="A156" s="4">
        <v>154</v>
      </c>
      <c r="B156" s="5" t="str">
        <f>"于雪"</f>
        <v>于雪</v>
      </c>
      <c r="C156" s="5"/>
      <c r="D156" s="5" t="str">
        <f>"20228025307"</f>
        <v>20228025307</v>
      </c>
      <c r="E156" s="5" t="str">
        <f t="shared" si="11"/>
        <v>20220203</v>
      </c>
      <c r="F156" s="6">
        <v>98.18</v>
      </c>
      <c r="G156" s="6">
        <v>102.7</v>
      </c>
      <c r="H156" s="6">
        <v>100.89</v>
      </c>
    </row>
    <row r="157" ht="20" customHeight="1" spans="1:8">
      <c r="A157" s="4">
        <v>155</v>
      </c>
      <c r="B157" s="5" t="str">
        <f>"韩凯华"</f>
        <v>韩凯华</v>
      </c>
      <c r="C157" s="5"/>
      <c r="D157" s="5" t="str">
        <f>"20228025009"</f>
        <v>20228025009</v>
      </c>
      <c r="E157" s="5" t="str">
        <f t="shared" si="11"/>
        <v>20220203</v>
      </c>
      <c r="F157" s="6">
        <v>99.16</v>
      </c>
      <c r="G157" s="6">
        <v>102</v>
      </c>
      <c r="H157" s="6">
        <v>100.86</v>
      </c>
    </row>
    <row r="158" ht="20" customHeight="1" spans="1:8">
      <c r="A158" s="4">
        <v>156</v>
      </c>
      <c r="B158" s="5" t="str">
        <f>"费提提"</f>
        <v>费提提</v>
      </c>
      <c r="C158" s="5"/>
      <c r="D158" s="5" t="str">
        <f>"20228024615"</f>
        <v>20228024615</v>
      </c>
      <c r="E158" s="5" t="str">
        <f t="shared" si="11"/>
        <v>20220203</v>
      </c>
      <c r="F158" s="6">
        <v>91.38</v>
      </c>
      <c r="G158" s="6">
        <v>106.6</v>
      </c>
      <c r="H158" s="6">
        <v>100.51</v>
      </c>
    </row>
    <row r="159" ht="20" customHeight="1" spans="1:8">
      <c r="A159" s="4">
        <v>157</v>
      </c>
      <c r="B159" s="5" t="str">
        <f>"李小双"</f>
        <v>李小双</v>
      </c>
      <c r="C159" s="5"/>
      <c r="D159" s="5" t="str">
        <f>"20228025127"</f>
        <v>20228025127</v>
      </c>
      <c r="E159" s="5" t="str">
        <f t="shared" si="11"/>
        <v>20220203</v>
      </c>
      <c r="F159" s="6">
        <v>96.9</v>
      </c>
      <c r="G159" s="6">
        <v>102.6</v>
      </c>
      <c r="H159" s="6">
        <v>100.32</v>
      </c>
    </row>
    <row r="160" ht="20" customHeight="1" spans="1:8">
      <c r="A160" s="4">
        <v>158</v>
      </c>
      <c r="B160" s="5" t="str">
        <f>"曹利"</f>
        <v>曹利</v>
      </c>
      <c r="C160" s="5"/>
      <c r="D160" s="5" t="str">
        <f>"20228025508"</f>
        <v>20228025508</v>
      </c>
      <c r="E160" s="5" t="str">
        <f t="shared" si="11"/>
        <v>20220203</v>
      </c>
      <c r="F160" s="6">
        <v>94.19</v>
      </c>
      <c r="G160" s="6">
        <v>104.2</v>
      </c>
      <c r="H160" s="6">
        <v>100.2</v>
      </c>
    </row>
    <row r="161" ht="20" customHeight="1" spans="1:8">
      <c r="A161" s="4">
        <v>159</v>
      </c>
      <c r="B161" s="5" t="str">
        <f>"马晴晴"</f>
        <v>马晴晴</v>
      </c>
      <c r="C161" s="5"/>
      <c r="D161" s="5" t="str">
        <f>"20228024904"</f>
        <v>20228024904</v>
      </c>
      <c r="E161" s="5" t="str">
        <f t="shared" si="11"/>
        <v>20220203</v>
      </c>
      <c r="F161" s="6">
        <v>103.4</v>
      </c>
      <c r="G161" s="6">
        <v>97.9</v>
      </c>
      <c r="H161" s="6">
        <v>100.1</v>
      </c>
    </row>
    <row r="162" ht="20" customHeight="1" spans="1:8">
      <c r="A162" s="4">
        <v>160</v>
      </c>
      <c r="B162" s="5" t="str">
        <f>"周奇奇"</f>
        <v>周奇奇</v>
      </c>
      <c r="C162" s="5"/>
      <c r="D162" s="5" t="str">
        <f>"20228025014"</f>
        <v>20228025014</v>
      </c>
      <c r="E162" s="5" t="str">
        <f t="shared" si="11"/>
        <v>20220203</v>
      </c>
      <c r="F162" s="6">
        <v>95.9</v>
      </c>
      <c r="G162" s="6">
        <v>102.7</v>
      </c>
      <c r="H162" s="6">
        <v>99.98</v>
      </c>
    </row>
    <row r="163" ht="20" customHeight="1" spans="1:8">
      <c r="A163" s="4">
        <v>161</v>
      </c>
      <c r="B163" s="5" t="str">
        <f>"许金金"</f>
        <v>许金金</v>
      </c>
      <c r="C163" s="5"/>
      <c r="D163" s="5" t="str">
        <f>"20228025122"</f>
        <v>20228025122</v>
      </c>
      <c r="E163" s="5" t="str">
        <f t="shared" si="11"/>
        <v>20220203</v>
      </c>
      <c r="F163" s="6">
        <v>98.28</v>
      </c>
      <c r="G163" s="6">
        <v>101.1</v>
      </c>
      <c r="H163" s="6">
        <v>99.97</v>
      </c>
    </row>
    <row r="164" ht="20" customHeight="1" spans="1:8">
      <c r="A164" s="4">
        <v>162</v>
      </c>
      <c r="B164" s="5" t="str">
        <f>"谭亚茹"</f>
        <v>谭亚茹</v>
      </c>
      <c r="C164" s="5"/>
      <c r="D164" s="5" t="str">
        <f>"20228025027"</f>
        <v>20228025027</v>
      </c>
      <c r="E164" s="5" t="str">
        <f t="shared" si="11"/>
        <v>20220203</v>
      </c>
      <c r="F164" s="6">
        <v>88.12</v>
      </c>
      <c r="G164" s="6">
        <v>107.5</v>
      </c>
      <c r="H164" s="6">
        <v>99.75</v>
      </c>
    </row>
    <row r="165" ht="20" customHeight="1" spans="1:8">
      <c r="A165" s="4">
        <v>163</v>
      </c>
      <c r="B165" s="5" t="str">
        <f>"李慧"</f>
        <v>李慧</v>
      </c>
      <c r="C165" s="5"/>
      <c r="D165" s="5" t="str">
        <f>"20228025112"</f>
        <v>20228025112</v>
      </c>
      <c r="E165" s="5" t="str">
        <f t="shared" si="11"/>
        <v>20220203</v>
      </c>
      <c r="F165" s="6">
        <v>96.09</v>
      </c>
      <c r="G165" s="6">
        <v>102.1</v>
      </c>
      <c r="H165" s="6">
        <v>99.7</v>
      </c>
    </row>
    <row r="166" ht="20" customHeight="1" spans="1:8">
      <c r="A166" s="4">
        <v>164</v>
      </c>
      <c r="B166" s="5" t="str">
        <f>"贾茹"</f>
        <v>贾茹</v>
      </c>
      <c r="C166" s="5"/>
      <c r="D166" s="5" t="str">
        <f>"20228025419"</f>
        <v>20228025419</v>
      </c>
      <c r="E166" s="5" t="str">
        <f t="shared" si="11"/>
        <v>20220203</v>
      </c>
      <c r="F166" s="6">
        <v>92.06</v>
      </c>
      <c r="G166" s="6">
        <v>104.6</v>
      </c>
      <c r="H166" s="6">
        <v>99.58</v>
      </c>
    </row>
    <row r="167" ht="20" customHeight="1" spans="1:8">
      <c r="A167" s="4">
        <v>165</v>
      </c>
      <c r="B167" s="5" t="str">
        <f>"李飞翔"</f>
        <v>李飞翔</v>
      </c>
      <c r="C167" s="5"/>
      <c r="D167" s="5" t="str">
        <f>"20228025628"</f>
        <v>20228025628</v>
      </c>
      <c r="E167" s="5" t="str">
        <f>"20220204"</f>
        <v>20220204</v>
      </c>
      <c r="F167" s="6">
        <v>95.33</v>
      </c>
      <c r="G167" s="6">
        <v>81.1</v>
      </c>
      <c r="H167" s="6">
        <v>86.79</v>
      </c>
    </row>
    <row r="168" ht="20" customHeight="1" spans="1:8">
      <c r="A168" s="4">
        <v>166</v>
      </c>
      <c r="B168" s="5" t="str">
        <f>"蔡华豹"</f>
        <v>蔡华豹</v>
      </c>
      <c r="C168" s="5"/>
      <c r="D168" s="5" t="str">
        <f>"20228025629"</f>
        <v>20228025629</v>
      </c>
      <c r="E168" s="5" t="str">
        <f>"20220204"</f>
        <v>20220204</v>
      </c>
      <c r="F168" s="6">
        <v>85.92</v>
      </c>
      <c r="G168" s="6">
        <v>65.2</v>
      </c>
      <c r="H168" s="6">
        <v>73.49</v>
      </c>
    </row>
    <row r="169" ht="20" customHeight="1" spans="1:8">
      <c r="A169" s="4">
        <v>167</v>
      </c>
      <c r="B169" s="5" t="str">
        <f>"潘友佳"</f>
        <v>潘友佳</v>
      </c>
      <c r="C169" s="5"/>
      <c r="D169" s="5" t="str">
        <f>"20228025617"</f>
        <v>20228025617</v>
      </c>
      <c r="E169" s="5" t="str">
        <f>"20220204"</f>
        <v>20220204</v>
      </c>
      <c r="F169" s="6">
        <v>76.54</v>
      </c>
      <c r="G169" s="6">
        <v>52.6</v>
      </c>
      <c r="H169" s="6">
        <v>62.18</v>
      </c>
    </row>
    <row r="170" ht="20" customHeight="1" spans="1:8">
      <c r="A170" s="4">
        <v>168</v>
      </c>
      <c r="B170" s="5" t="str">
        <f>"朱敬亮"</f>
        <v>朱敬亮</v>
      </c>
      <c r="C170" s="5"/>
      <c r="D170" s="5" t="str">
        <f>"20228025627"</f>
        <v>20228025627</v>
      </c>
      <c r="E170" s="5" t="str">
        <f>"20220204"</f>
        <v>20220204</v>
      </c>
      <c r="F170" s="6">
        <v>69.53</v>
      </c>
      <c r="G170" s="6">
        <v>54.8</v>
      </c>
      <c r="H170" s="6">
        <v>60.69</v>
      </c>
    </row>
    <row r="171" ht="20" customHeight="1" spans="1:8">
      <c r="A171" s="4">
        <v>169</v>
      </c>
      <c r="B171" s="5" t="str">
        <f>"许海艳"</f>
        <v>许海艳</v>
      </c>
      <c r="C171" s="5"/>
      <c r="D171" s="5" t="str">
        <f>"20228026115"</f>
        <v>20228026115</v>
      </c>
      <c r="E171" s="5" t="str">
        <f>"20220205"</f>
        <v>20220205</v>
      </c>
      <c r="F171" s="6">
        <v>96.48</v>
      </c>
      <c r="G171" s="6">
        <v>86.2</v>
      </c>
      <c r="H171" s="6">
        <v>90.31</v>
      </c>
    </row>
    <row r="172" ht="20" customHeight="1" spans="1:8">
      <c r="A172" s="4">
        <v>170</v>
      </c>
      <c r="B172" s="5" t="str">
        <f>"杜施瑞"</f>
        <v>杜施瑞</v>
      </c>
      <c r="C172" s="5"/>
      <c r="D172" s="5" t="str">
        <f>"20228026118"</f>
        <v>20228026118</v>
      </c>
      <c r="E172" s="5" t="str">
        <f>"20220205"</f>
        <v>20220205</v>
      </c>
      <c r="F172" s="6">
        <v>79.39</v>
      </c>
      <c r="G172" s="6">
        <v>92.6</v>
      </c>
      <c r="H172" s="6">
        <v>87.32</v>
      </c>
    </row>
    <row r="173" ht="20" customHeight="1" spans="1:8">
      <c r="A173" s="4">
        <v>171</v>
      </c>
      <c r="B173" s="5" t="str">
        <f>"解翔翔"</f>
        <v>解翔翔</v>
      </c>
      <c r="C173" s="5"/>
      <c r="D173" s="5" t="str">
        <f>"20228026104"</f>
        <v>20228026104</v>
      </c>
      <c r="E173" s="5" t="str">
        <f>"20220205"</f>
        <v>20220205</v>
      </c>
      <c r="F173" s="6">
        <v>83.72</v>
      </c>
      <c r="G173" s="6">
        <v>87.1</v>
      </c>
      <c r="H173" s="6">
        <v>85.75</v>
      </c>
    </row>
    <row r="174" ht="20" customHeight="1" spans="1:8">
      <c r="A174" s="4">
        <v>172</v>
      </c>
      <c r="B174" s="5" t="str">
        <f>"殷海珍"</f>
        <v>殷海珍</v>
      </c>
      <c r="C174" s="5"/>
      <c r="D174" s="5" t="str">
        <f>"20228026504"</f>
        <v>20228026504</v>
      </c>
      <c r="E174" s="5" t="str">
        <f t="shared" ref="E174:E193" si="12">"20220206"</f>
        <v>20220206</v>
      </c>
      <c r="F174" s="6">
        <v>95.9</v>
      </c>
      <c r="G174" s="6">
        <v>96.6</v>
      </c>
      <c r="H174" s="6">
        <v>96.32</v>
      </c>
    </row>
    <row r="175" ht="20" customHeight="1" spans="1:8">
      <c r="A175" s="4">
        <v>173</v>
      </c>
      <c r="B175" s="5" t="str">
        <f>"吕颖慧"</f>
        <v>吕颖慧</v>
      </c>
      <c r="C175" s="5"/>
      <c r="D175" s="5" t="str">
        <f>"20228026425"</f>
        <v>20228026425</v>
      </c>
      <c r="E175" s="5" t="str">
        <f t="shared" si="12"/>
        <v>20220206</v>
      </c>
      <c r="F175" s="6">
        <v>91.07</v>
      </c>
      <c r="G175" s="6">
        <v>99.7</v>
      </c>
      <c r="H175" s="6">
        <v>96.25</v>
      </c>
    </row>
    <row r="176" ht="20" customHeight="1" spans="1:8">
      <c r="A176" s="4">
        <v>174</v>
      </c>
      <c r="B176" s="5" t="str">
        <f>"韩雪"</f>
        <v>韩雪</v>
      </c>
      <c r="C176" s="5"/>
      <c r="D176" s="5" t="str">
        <f>"20228026503"</f>
        <v>20228026503</v>
      </c>
      <c r="E176" s="5" t="str">
        <f t="shared" si="12"/>
        <v>20220206</v>
      </c>
      <c r="F176" s="6">
        <v>92.23</v>
      </c>
      <c r="G176" s="6">
        <v>90.3</v>
      </c>
      <c r="H176" s="6">
        <v>91.07</v>
      </c>
    </row>
    <row r="177" ht="20" customHeight="1" spans="1:8">
      <c r="A177" s="4">
        <v>175</v>
      </c>
      <c r="B177" s="5" t="str">
        <f>"颜迎接"</f>
        <v>颜迎接</v>
      </c>
      <c r="C177" s="5"/>
      <c r="D177" s="5" t="str">
        <f>"20228026506"</f>
        <v>20228026506</v>
      </c>
      <c r="E177" s="5" t="str">
        <f t="shared" si="12"/>
        <v>20220206</v>
      </c>
      <c r="F177" s="6">
        <v>77.57</v>
      </c>
      <c r="G177" s="6">
        <v>95.6</v>
      </c>
      <c r="H177" s="6">
        <v>88.39</v>
      </c>
    </row>
    <row r="178" ht="20" customHeight="1" spans="1:8">
      <c r="A178" s="4">
        <v>176</v>
      </c>
      <c r="B178" s="5" t="str">
        <f>"孙晶晶"</f>
        <v>孙晶晶</v>
      </c>
      <c r="C178" s="5"/>
      <c r="D178" s="5" t="str">
        <f>"20228026417"</f>
        <v>20228026417</v>
      </c>
      <c r="E178" s="5" t="str">
        <f t="shared" si="12"/>
        <v>20220206</v>
      </c>
      <c r="F178" s="6">
        <v>85.73</v>
      </c>
      <c r="G178" s="6">
        <v>88</v>
      </c>
      <c r="H178" s="6">
        <v>87.09</v>
      </c>
    </row>
    <row r="179" ht="20" customHeight="1" spans="1:8">
      <c r="A179" s="4">
        <v>177</v>
      </c>
      <c r="B179" s="5" t="str">
        <f>"李文杰"</f>
        <v>李文杰</v>
      </c>
      <c r="C179" s="5"/>
      <c r="D179" s="5" t="str">
        <f>"20228026430"</f>
        <v>20228026430</v>
      </c>
      <c r="E179" s="5" t="str">
        <f t="shared" si="12"/>
        <v>20220206</v>
      </c>
      <c r="F179" s="6">
        <v>87.34</v>
      </c>
      <c r="G179" s="6">
        <v>83.2</v>
      </c>
      <c r="H179" s="6">
        <v>84.86</v>
      </c>
    </row>
    <row r="180" ht="20" customHeight="1" spans="1:8">
      <c r="A180" s="4">
        <v>178</v>
      </c>
      <c r="B180" s="5" t="str">
        <f>"张丽娜"</f>
        <v>张丽娜</v>
      </c>
      <c r="C180" s="5"/>
      <c r="D180" s="5" t="str">
        <f>"20228026505"</f>
        <v>20228026505</v>
      </c>
      <c r="E180" s="5" t="str">
        <f t="shared" si="12"/>
        <v>20220206</v>
      </c>
      <c r="F180" s="6">
        <v>79.75</v>
      </c>
      <c r="G180" s="6">
        <v>86.1</v>
      </c>
      <c r="H180" s="6">
        <v>83.56</v>
      </c>
    </row>
    <row r="181" ht="20" customHeight="1" spans="1:8">
      <c r="A181" s="4">
        <v>179</v>
      </c>
      <c r="B181" s="5" t="str">
        <f>"李文静"</f>
        <v>李文静</v>
      </c>
      <c r="C181" s="5"/>
      <c r="D181" s="5" t="str">
        <f>"20228026429"</f>
        <v>20228026429</v>
      </c>
      <c r="E181" s="5" t="str">
        <f t="shared" si="12"/>
        <v>20220206</v>
      </c>
      <c r="F181" s="6">
        <v>84.88</v>
      </c>
      <c r="G181" s="6">
        <v>82.4</v>
      </c>
      <c r="H181" s="6">
        <v>83.39</v>
      </c>
    </row>
    <row r="182" ht="20" customHeight="1" spans="1:8">
      <c r="A182" s="4">
        <v>180</v>
      </c>
      <c r="B182" s="5" t="str">
        <f>"李小龙"</f>
        <v>李小龙</v>
      </c>
      <c r="C182" s="5"/>
      <c r="D182" s="5" t="str">
        <f>"20228026426"</f>
        <v>20228026426</v>
      </c>
      <c r="E182" s="5" t="str">
        <f t="shared" si="12"/>
        <v>20220206</v>
      </c>
      <c r="F182" s="6">
        <v>72.08</v>
      </c>
      <c r="G182" s="6">
        <v>81.4</v>
      </c>
      <c r="H182" s="6">
        <v>77.67</v>
      </c>
    </row>
    <row r="183" ht="20" customHeight="1" spans="1:8">
      <c r="A183" s="4">
        <v>181</v>
      </c>
      <c r="B183" s="5" t="str">
        <f>"刘晓倩"</f>
        <v>刘晓倩</v>
      </c>
      <c r="C183" s="5"/>
      <c r="D183" s="5" t="str">
        <f>"20228026525"</f>
        <v>20228026525</v>
      </c>
      <c r="E183" s="5" t="str">
        <f>"20220207"</f>
        <v>20220207</v>
      </c>
      <c r="F183" s="6">
        <v>93.54</v>
      </c>
      <c r="G183" s="6">
        <v>102.3</v>
      </c>
      <c r="H183" s="6">
        <v>98.8</v>
      </c>
    </row>
    <row r="184" ht="20" customHeight="1" spans="1:8">
      <c r="A184" s="4">
        <v>182</v>
      </c>
      <c r="B184" s="5" t="str">
        <f>"段苗苗"</f>
        <v>段苗苗</v>
      </c>
      <c r="C184" s="5"/>
      <c r="D184" s="5" t="str">
        <f>"20228026520"</f>
        <v>20228026520</v>
      </c>
      <c r="E184" s="5" t="str">
        <f>"20220207"</f>
        <v>20220207</v>
      </c>
      <c r="F184" s="6">
        <v>82.79</v>
      </c>
      <c r="G184" s="6">
        <v>96.6</v>
      </c>
      <c r="H184" s="6">
        <v>91.08</v>
      </c>
    </row>
    <row r="185" ht="20" customHeight="1" spans="1:8">
      <c r="A185" s="4">
        <v>183</v>
      </c>
      <c r="B185" s="5" t="str">
        <f>"袁媛"</f>
        <v>袁媛</v>
      </c>
      <c r="C185" s="5"/>
      <c r="D185" s="5" t="str">
        <f>"20228026522"</f>
        <v>20228026522</v>
      </c>
      <c r="E185" s="5" t="str">
        <f>"20220207"</f>
        <v>20220207</v>
      </c>
      <c r="F185" s="6">
        <v>75.57</v>
      </c>
      <c r="G185" s="6">
        <v>97.5</v>
      </c>
      <c r="H185" s="6">
        <v>88.73</v>
      </c>
    </row>
    <row r="186" ht="20" customHeight="1" spans="1:8">
      <c r="A186" s="4">
        <v>184</v>
      </c>
      <c r="B186" s="5" t="str">
        <f>"付澳"</f>
        <v>付澳</v>
      </c>
      <c r="C186" s="5"/>
      <c r="D186" s="5" t="str">
        <f>"20228026710"</f>
        <v>20228026710</v>
      </c>
      <c r="E186" s="5" t="str">
        <f t="shared" ref="E186:E199" si="13">"20220208"</f>
        <v>20220208</v>
      </c>
      <c r="F186" s="6">
        <v>85.87</v>
      </c>
      <c r="G186" s="6">
        <v>103.8</v>
      </c>
      <c r="H186" s="6">
        <v>96.63</v>
      </c>
    </row>
    <row r="187" ht="20" customHeight="1" spans="1:8">
      <c r="A187" s="4">
        <v>185</v>
      </c>
      <c r="B187" s="5" t="str">
        <f>"祝会会"</f>
        <v>祝会会</v>
      </c>
      <c r="C187" s="5"/>
      <c r="D187" s="5" t="str">
        <f>"20228026701"</f>
        <v>20228026701</v>
      </c>
      <c r="E187" s="5" t="str">
        <f t="shared" si="13"/>
        <v>20220208</v>
      </c>
      <c r="F187" s="6">
        <v>98.47</v>
      </c>
      <c r="G187" s="6">
        <v>92</v>
      </c>
      <c r="H187" s="6">
        <v>94.59</v>
      </c>
    </row>
    <row r="188" ht="20" customHeight="1" spans="1:8">
      <c r="A188" s="4">
        <v>186</v>
      </c>
      <c r="B188" s="5" t="str">
        <f>"刘雪"</f>
        <v>刘雪</v>
      </c>
      <c r="C188" s="5"/>
      <c r="D188" s="5" t="str">
        <f>"20228026629"</f>
        <v>20228026629</v>
      </c>
      <c r="E188" s="5" t="str">
        <f t="shared" si="13"/>
        <v>20220208</v>
      </c>
      <c r="F188" s="6">
        <v>78.52</v>
      </c>
      <c r="G188" s="6">
        <v>103.4</v>
      </c>
      <c r="H188" s="6">
        <v>93.45</v>
      </c>
    </row>
    <row r="189" ht="20" customHeight="1" spans="1:8">
      <c r="A189" s="4">
        <v>187</v>
      </c>
      <c r="B189" s="5" t="str">
        <f>"朱志强"</f>
        <v>朱志强</v>
      </c>
      <c r="C189" s="5"/>
      <c r="D189" s="5" t="str">
        <f>"20228026708"</f>
        <v>20228026708</v>
      </c>
      <c r="E189" s="5" t="str">
        <f t="shared" si="13"/>
        <v>20220208</v>
      </c>
      <c r="F189" s="6">
        <v>74.13</v>
      </c>
      <c r="G189" s="6">
        <v>101.8</v>
      </c>
      <c r="H189" s="6">
        <v>90.73</v>
      </c>
    </row>
    <row r="190" ht="20" customHeight="1" spans="1:8">
      <c r="A190" s="4">
        <v>188</v>
      </c>
      <c r="B190" s="5" t="str">
        <f>"梁浩天"</f>
        <v>梁浩天</v>
      </c>
      <c r="C190" s="5"/>
      <c r="D190" s="5" t="str">
        <f>"20228026630"</f>
        <v>20228026630</v>
      </c>
      <c r="E190" s="5" t="str">
        <f t="shared" si="13"/>
        <v>20220208</v>
      </c>
      <c r="F190" s="6">
        <v>79.32</v>
      </c>
      <c r="G190" s="6">
        <v>91.6</v>
      </c>
      <c r="H190" s="6">
        <v>86.69</v>
      </c>
    </row>
    <row r="191" ht="20" customHeight="1" spans="1:8">
      <c r="A191" s="4">
        <v>189</v>
      </c>
      <c r="B191" s="5" t="str">
        <f>"应晓玲"</f>
        <v>应晓玲</v>
      </c>
      <c r="C191" s="5"/>
      <c r="D191" s="5" t="str">
        <f>"20228026706"</f>
        <v>20228026706</v>
      </c>
      <c r="E191" s="5" t="str">
        <f t="shared" si="13"/>
        <v>20220208</v>
      </c>
      <c r="F191" s="6">
        <v>60.51</v>
      </c>
      <c r="G191" s="6">
        <v>92.2</v>
      </c>
      <c r="H191" s="6">
        <v>79.52</v>
      </c>
    </row>
    <row r="192" ht="20" customHeight="1" spans="1:8">
      <c r="A192" s="4">
        <v>190</v>
      </c>
      <c r="B192" s="5" t="str">
        <f>"甘子健"</f>
        <v>甘子健</v>
      </c>
      <c r="C192" s="5"/>
      <c r="D192" s="5" t="str">
        <f>"20228026223"</f>
        <v>20228026223</v>
      </c>
      <c r="E192" s="5" t="str">
        <f>"20220209"</f>
        <v>20220209</v>
      </c>
      <c r="F192" s="6">
        <v>96.67</v>
      </c>
      <c r="G192" s="6">
        <v>101.6</v>
      </c>
      <c r="H192" s="6">
        <v>99.63</v>
      </c>
    </row>
    <row r="193" ht="20" customHeight="1" spans="1:8">
      <c r="A193" s="4">
        <v>191</v>
      </c>
      <c r="B193" s="5" t="str">
        <f>"郜培侠"</f>
        <v>郜培侠</v>
      </c>
      <c r="C193" s="5"/>
      <c r="D193" s="5" t="str">
        <f>"20228026224"</f>
        <v>20228026224</v>
      </c>
      <c r="E193" s="5" t="str">
        <f>"20220209"</f>
        <v>20220209</v>
      </c>
      <c r="F193" s="6">
        <v>86.22</v>
      </c>
      <c r="G193" s="6">
        <v>98.3</v>
      </c>
      <c r="H193" s="6">
        <v>93.47</v>
      </c>
    </row>
    <row r="194" ht="20" customHeight="1" spans="1:8">
      <c r="A194" s="4">
        <v>192</v>
      </c>
      <c r="B194" s="5" t="str">
        <f>"陶媛媛"</f>
        <v>陶媛媛</v>
      </c>
      <c r="C194" s="5"/>
      <c r="D194" s="5" t="str">
        <f>"20228026216"</f>
        <v>20228026216</v>
      </c>
      <c r="E194" s="5" t="str">
        <f>"20220209"</f>
        <v>20220209</v>
      </c>
      <c r="F194" s="6">
        <v>74.6</v>
      </c>
      <c r="G194" s="6">
        <v>97.6</v>
      </c>
      <c r="H194" s="6">
        <v>88.4</v>
      </c>
    </row>
    <row r="195" ht="20" customHeight="1" spans="1:8">
      <c r="A195" s="4">
        <v>193</v>
      </c>
      <c r="B195" s="5" t="str">
        <f>"曹娇宇"</f>
        <v>曹娇宇</v>
      </c>
      <c r="C195" s="5"/>
      <c r="D195" s="5" t="str">
        <f>"20228026228"</f>
        <v>20228026228</v>
      </c>
      <c r="E195" s="5" t="str">
        <f>"20220209"</f>
        <v>20220209</v>
      </c>
      <c r="F195" s="6">
        <v>83.11</v>
      </c>
      <c r="G195" s="6">
        <v>90.7</v>
      </c>
      <c r="H195" s="6">
        <v>87.66</v>
      </c>
    </row>
    <row r="196" ht="20" customHeight="1" spans="1:8">
      <c r="A196" s="4">
        <v>194</v>
      </c>
      <c r="B196" s="5" t="str">
        <f>"张茹"</f>
        <v>张茹</v>
      </c>
      <c r="C196" s="5"/>
      <c r="D196" s="5" t="str">
        <f>"20228026229"</f>
        <v>20228026229</v>
      </c>
      <c r="E196" s="5" t="str">
        <f>"20220209"</f>
        <v>20220209</v>
      </c>
      <c r="F196" s="6">
        <v>73.85</v>
      </c>
      <c r="G196" s="6">
        <v>85.7</v>
      </c>
      <c r="H196" s="6">
        <v>80.96</v>
      </c>
    </row>
    <row r="197" ht="20" customHeight="1" spans="1:8">
      <c r="A197" s="4">
        <v>195</v>
      </c>
      <c r="B197" s="5" t="str">
        <f>"朱梦圆"</f>
        <v>朱梦圆</v>
      </c>
      <c r="C197" s="5"/>
      <c r="D197" s="5" t="str">
        <f>"20228027912"</f>
        <v>20228027912</v>
      </c>
      <c r="E197" s="5" t="str">
        <f t="shared" ref="E197:E232" si="14">"20220210"</f>
        <v>20220210</v>
      </c>
      <c r="F197" s="6">
        <v>94.68</v>
      </c>
      <c r="G197" s="6">
        <v>79.7</v>
      </c>
      <c r="H197" s="6">
        <v>85.69</v>
      </c>
    </row>
    <row r="198" ht="20" customHeight="1" spans="1:8">
      <c r="A198" s="4">
        <v>196</v>
      </c>
      <c r="B198" s="5" t="str">
        <f>"李其伟"</f>
        <v>李其伟</v>
      </c>
      <c r="C198" s="5"/>
      <c r="D198" s="5" t="str">
        <f>"20228027917"</f>
        <v>20228027917</v>
      </c>
      <c r="E198" s="5" t="str">
        <f t="shared" si="14"/>
        <v>20220210</v>
      </c>
      <c r="F198" s="6">
        <v>93.13</v>
      </c>
      <c r="G198" s="6">
        <v>79.6</v>
      </c>
      <c r="H198" s="6">
        <v>85.01</v>
      </c>
    </row>
    <row r="199" ht="20" customHeight="1" spans="1:8">
      <c r="A199" s="4">
        <v>197</v>
      </c>
      <c r="B199" s="5" t="str">
        <f>"何小娟"</f>
        <v>何小娟</v>
      </c>
      <c r="C199" s="5"/>
      <c r="D199" s="5" t="str">
        <f>"20228027813"</f>
        <v>20228027813</v>
      </c>
      <c r="E199" s="5" t="str">
        <f t="shared" si="14"/>
        <v>20220210</v>
      </c>
      <c r="F199" s="6">
        <v>93.6</v>
      </c>
      <c r="G199" s="6">
        <v>78.5</v>
      </c>
      <c r="H199" s="6">
        <v>84.54</v>
      </c>
    </row>
    <row r="200" ht="20" customHeight="1" spans="1:8">
      <c r="A200" s="4">
        <v>198</v>
      </c>
      <c r="B200" s="5" t="str">
        <f>"卢梦君"</f>
        <v>卢梦君</v>
      </c>
      <c r="C200" s="5"/>
      <c r="D200" s="5" t="str">
        <f>"20228027902"</f>
        <v>20228027902</v>
      </c>
      <c r="E200" s="5" t="str">
        <f t="shared" si="14"/>
        <v>20220210</v>
      </c>
      <c r="F200" s="6">
        <v>94.83</v>
      </c>
      <c r="G200" s="6">
        <v>77.2</v>
      </c>
      <c r="H200" s="6">
        <v>84.25</v>
      </c>
    </row>
    <row r="201" ht="20" customHeight="1" spans="1:8">
      <c r="A201" s="4">
        <v>199</v>
      </c>
      <c r="B201" s="5" t="str">
        <f>"葛益志"</f>
        <v>葛益志</v>
      </c>
      <c r="C201" s="5"/>
      <c r="D201" s="5" t="str">
        <f>"20228027908"</f>
        <v>20228027908</v>
      </c>
      <c r="E201" s="5" t="str">
        <f t="shared" si="14"/>
        <v>20220210</v>
      </c>
      <c r="F201" s="6">
        <v>82.4</v>
      </c>
      <c r="G201" s="6">
        <v>79.1</v>
      </c>
      <c r="H201" s="6">
        <v>80.42</v>
      </c>
    </row>
    <row r="202" ht="20" customHeight="1" spans="1:8">
      <c r="A202" s="4">
        <v>200</v>
      </c>
      <c r="B202" s="5" t="str">
        <f>"夏心勇"</f>
        <v>夏心勇</v>
      </c>
      <c r="C202" s="5"/>
      <c r="D202" s="5" t="str">
        <f>"20228027827"</f>
        <v>20228027827</v>
      </c>
      <c r="E202" s="5" t="str">
        <f t="shared" si="14"/>
        <v>20220210</v>
      </c>
      <c r="F202" s="6">
        <v>80.23</v>
      </c>
      <c r="G202" s="6">
        <v>80.3</v>
      </c>
      <c r="H202" s="6">
        <v>80.27</v>
      </c>
    </row>
    <row r="203" ht="20" customHeight="1" spans="1:8">
      <c r="A203" s="4">
        <v>201</v>
      </c>
      <c r="B203" s="5" t="str">
        <f>"相琛琛"</f>
        <v>相琛琛</v>
      </c>
      <c r="C203" s="5"/>
      <c r="D203" s="5" t="str">
        <f>"20228027822"</f>
        <v>20228027822</v>
      </c>
      <c r="E203" s="5" t="str">
        <f t="shared" si="14"/>
        <v>20220210</v>
      </c>
      <c r="F203" s="6">
        <v>87.57</v>
      </c>
      <c r="G203" s="6">
        <v>74</v>
      </c>
      <c r="H203" s="6">
        <v>79.43</v>
      </c>
    </row>
    <row r="204" ht="20" customHeight="1" spans="1:8">
      <c r="A204" s="4">
        <v>202</v>
      </c>
      <c r="B204" s="5" t="str">
        <f>"张迎港"</f>
        <v>张迎港</v>
      </c>
      <c r="C204" s="5"/>
      <c r="D204" s="5" t="str">
        <f>"20228027818"</f>
        <v>20228027818</v>
      </c>
      <c r="E204" s="5" t="str">
        <f t="shared" si="14"/>
        <v>20220210</v>
      </c>
      <c r="F204" s="6">
        <v>87.65</v>
      </c>
      <c r="G204" s="6">
        <v>73.9</v>
      </c>
      <c r="H204" s="6">
        <v>79.4</v>
      </c>
    </row>
    <row r="205" ht="20" customHeight="1" spans="1:8">
      <c r="A205" s="4">
        <v>203</v>
      </c>
      <c r="B205" s="5" t="str">
        <f>"郗长信"</f>
        <v>郗长信</v>
      </c>
      <c r="C205" s="5"/>
      <c r="D205" s="5" t="str">
        <f>"20228027909"</f>
        <v>20228027909</v>
      </c>
      <c r="E205" s="5" t="str">
        <f t="shared" si="14"/>
        <v>20220210</v>
      </c>
      <c r="F205" s="6">
        <v>81.05</v>
      </c>
      <c r="G205" s="6">
        <v>75.5</v>
      </c>
      <c r="H205" s="6">
        <v>77.72</v>
      </c>
    </row>
    <row r="206" ht="20" customHeight="1" spans="1:8">
      <c r="A206" s="4">
        <v>204</v>
      </c>
      <c r="B206" s="5" t="str">
        <f>"王文庆"</f>
        <v>王文庆</v>
      </c>
      <c r="C206" s="5"/>
      <c r="D206" s="5" t="str">
        <f>"20228028005"</f>
        <v>20228028005</v>
      </c>
      <c r="E206" s="5" t="str">
        <f t="shared" ref="E206:E246" si="15">"20220211"</f>
        <v>20220211</v>
      </c>
      <c r="F206" s="6">
        <v>89.93</v>
      </c>
      <c r="G206" s="6">
        <v>103.1</v>
      </c>
      <c r="H206" s="6">
        <v>97.83</v>
      </c>
    </row>
    <row r="207" ht="20" customHeight="1" spans="1:8">
      <c r="A207" s="4">
        <v>205</v>
      </c>
      <c r="B207" s="5" t="str">
        <f>"单兰兰"</f>
        <v>单兰兰</v>
      </c>
      <c r="C207" s="5"/>
      <c r="D207" s="5" t="str">
        <f>"20228027923"</f>
        <v>20228027923</v>
      </c>
      <c r="E207" s="5" t="str">
        <f t="shared" si="15"/>
        <v>20220211</v>
      </c>
      <c r="F207" s="6">
        <v>86.8</v>
      </c>
      <c r="G207" s="6">
        <v>98.5</v>
      </c>
      <c r="H207" s="6">
        <v>93.82</v>
      </c>
    </row>
    <row r="208" ht="20" customHeight="1" spans="1:8">
      <c r="A208" s="4">
        <v>206</v>
      </c>
      <c r="B208" s="5" t="str">
        <f>"张瑜"</f>
        <v>张瑜</v>
      </c>
      <c r="C208" s="5"/>
      <c r="D208" s="5" t="str">
        <f>"20228027921"</f>
        <v>20228027921</v>
      </c>
      <c r="E208" s="5" t="str">
        <f t="shared" si="15"/>
        <v>20220211</v>
      </c>
      <c r="F208" s="6">
        <v>86.65</v>
      </c>
      <c r="G208" s="6">
        <v>96.5</v>
      </c>
      <c r="H208" s="6">
        <v>92.56</v>
      </c>
    </row>
    <row r="209" ht="20" customHeight="1" spans="1:8">
      <c r="A209" s="4">
        <v>207</v>
      </c>
      <c r="B209" s="5" t="str">
        <f>"韩笑威"</f>
        <v>韩笑威</v>
      </c>
      <c r="C209" s="5"/>
      <c r="D209" s="5" t="str">
        <f>"20228028019"</f>
        <v>20228028019</v>
      </c>
      <c r="E209" s="5" t="str">
        <f t="shared" si="15"/>
        <v>20220211</v>
      </c>
      <c r="F209" s="6">
        <v>77.69</v>
      </c>
      <c r="G209" s="6">
        <v>101.6</v>
      </c>
      <c r="H209" s="6">
        <v>92.04</v>
      </c>
    </row>
    <row r="210" ht="20" customHeight="1" spans="1:8">
      <c r="A210" s="4">
        <v>208</v>
      </c>
      <c r="B210" s="5" t="str">
        <f>"张悦"</f>
        <v>张悦</v>
      </c>
      <c r="C210" s="5"/>
      <c r="D210" s="5" t="str">
        <f>"20228028009"</f>
        <v>20228028009</v>
      </c>
      <c r="E210" s="5" t="str">
        <f t="shared" si="15"/>
        <v>20220211</v>
      </c>
      <c r="F210" s="6">
        <v>76.86</v>
      </c>
      <c r="G210" s="6">
        <v>97.9</v>
      </c>
      <c r="H210" s="6">
        <v>89.48</v>
      </c>
    </row>
    <row r="211" ht="20" customHeight="1" spans="1:8">
      <c r="A211" s="4">
        <v>209</v>
      </c>
      <c r="B211" s="5" t="str">
        <f>"王天一"</f>
        <v>王天一</v>
      </c>
      <c r="C211" s="5"/>
      <c r="D211" s="5" t="str">
        <f>"20228027926"</f>
        <v>20228027926</v>
      </c>
      <c r="E211" s="5" t="str">
        <f t="shared" si="15"/>
        <v>20220211</v>
      </c>
      <c r="F211" s="6">
        <v>78.81</v>
      </c>
      <c r="G211" s="6">
        <v>96.2</v>
      </c>
      <c r="H211" s="6">
        <v>89.24</v>
      </c>
    </row>
    <row r="212" ht="20" customHeight="1" spans="1:8">
      <c r="A212" s="4">
        <v>210</v>
      </c>
      <c r="B212" s="5" t="str">
        <f>"许承诺"</f>
        <v>许承诺</v>
      </c>
      <c r="C212" s="5"/>
      <c r="D212" s="5" t="str">
        <f>"20228027725"</f>
        <v>20228027725</v>
      </c>
      <c r="E212" s="5" t="str">
        <f t="shared" ref="E212:E223" si="16">"20220212"</f>
        <v>20220212</v>
      </c>
      <c r="F212" s="6">
        <v>97.29</v>
      </c>
      <c r="G212" s="6">
        <v>104.3</v>
      </c>
      <c r="H212" s="6">
        <v>101.5</v>
      </c>
    </row>
    <row r="213" ht="20" customHeight="1" spans="1:8">
      <c r="A213" s="4">
        <v>211</v>
      </c>
      <c r="B213" s="5" t="str">
        <f>"程继成"</f>
        <v>程继成</v>
      </c>
      <c r="C213" s="5"/>
      <c r="D213" s="5" t="str">
        <f>"20228027603"</f>
        <v>20228027603</v>
      </c>
      <c r="E213" s="5" t="str">
        <f t="shared" si="16"/>
        <v>20220212</v>
      </c>
      <c r="F213" s="6">
        <v>96.17</v>
      </c>
      <c r="G213" s="6">
        <v>97.7</v>
      </c>
      <c r="H213" s="6">
        <v>97.09</v>
      </c>
    </row>
    <row r="214" ht="20" customHeight="1" spans="1:8">
      <c r="A214" s="4">
        <v>212</v>
      </c>
      <c r="B214" s="5" t="str">
        <f>"彭富"</f>
        <v>彭富</v>
      </c>
      <c r="C214" s="5"/>
      <c r="D214" s="5" t="str">
        <f>"20228027407"</f>
        <v>20228027407</v>
      </c>
      <c r="E214" s="5" t="str">
        <f t="shared" si="16"/>
        <v>20220212</v>
      </c>
      <c r="F214" s="6">
        <v>88.34</v>
      </c>
      <c r="G214" s="6">
        <v>101.3</v>
      </c>
      <c r="H214" s="6">
        <v>96.12</v>
      </c>
    </row>
    <row r="215" ht="20" customHeight="1" spans="1:8">
      <c r="A215" s="4">
        <v>213</v>
      </c>
      <c r="B215" s="5" t="str">
        <f>"代森林"</f>
        <v>代森林</v>
      </c>
      <c r="C215" s="5"/>
      <c r="D215" s="5" t="str">
        <f>"20228027803"</f>
        <v>20228027803</v>
      </c>
      <c r="E215" s="5" t="str">
        <f t="shared" si="16"/>
        <v>20220212</v>
      </c>
      <c r="F215" s="6">
        <v>92.64</v>
      </c>
      <c r="G215" s="6">
        <v>98.4</v>
      </c>
      <c r="H215" s="6">
        <v>96.1</v>
      </c>
    </row>
    <row r="216" ht="20" customHeight="1" spans="1:8">
      <c r="A216" s="4">
        <v>214</v>
      </c>
      <c r="B216" s="5" t="str">
        <f>"丁祥子"</f>
        <v>丁祥子</v>
      </c>
      <c r="C216" s="5"/>
      <c r="D216" s="5" t="str">
        <f>"20228027513"</f>
        <v>20228027513</v>
      </c>
      <c r="E216" s="5" t="str">
        <f t="shared" si="16"/>
        <v>20220212</v>
      </c>
      <c r="F216" s="6">
        <v>98.7</v>
      </c>
      <c r="G216" s="6">
        <v>93.5</v>
      </c>
      <c r="H216" s="6">
        <v>95.58</v>
      </c>
    </row>
    <row r="217" ht="20" customHeight="1" spans="1:8">
      <c r="A217" s="4">
        <v>215</v>
      </c>
      <c r="B217" s="5" t="str">
        <f>"程信"</f>
        <v>程信</v>
      </c>
      <c r="C217" s="5"/>
      <c r="D217" s="5" t="str">
        <f>"20228027610"</f>
        <v>20228027610</v>
      </c>
      <c r="E217" s="5" t="str">
        <f t="shared" si="16"/>
        <v>20220212</v>
      </c>
      <c r="F217" s="6">
        <v>86.18</v>
      </c>
      <c r="G217" s="6">
        <v>99.2</v>
      </c>
      <c r="H217" s="6">
        <v>93.99</v>
      </c>
    </row>
    <row r="218" ht="20" customHeight="1" spans="1:8">
      <c r="A218" s="4">
        <v>216</v>
      </c>
      <c r="B218" s="5" t="str">
        <f>"马锐"</f>
        <v>马锐</v>
      </c>
      <c r="C218" s="5"/>
      <c r="D218" s="5" t="str">
        <f>"20228027602"</f>
        <v>20228027602</v>
      </c>
      <c r="E218" s="5" t="str">
        <f t="shared" si="16"/>
        <v>20220212</v>
      </c>
      <c r="F218" s="6">
        <v>93.28</v>
      </c>
      <c r="G218" s="6">
        <v>90.9</v>
      </c>
      <c r="H218" s="6">
        <v>91.85</v>
      </c>
    </row>
    <row r="219" ht="20" customHeight="1" spans="1:8">
      <c r="A219" s="4">
        <v>217</v>
      </c>
      <c r="B219" s="5" t="str">
        <f>"田广龙"</f>
        <v>田广龙</v>
      </c>
      <c r="C219" s="5"/>
      <c r="D219" s="5" t="str">
        <f>"20228027511"</f>
        <v>20228027511</v>
      </c>
      <c r="E219" s="5" t="str">
        <f t="shared" si="16"/>
        <v>20220212</v>
      </c>
      <c r="F219" s="6">
        <v>77.18</v>
      </c>
      <c r="G219" s="6">
        <v>101.2</v>
      </c>
      <c r="H219" s="6">
        <v>91.59</v>
      </c>
    </row>
    <row r="220" ht="20" customHeight="1" spans="1:8">
      <c r="A220" s="4">
        <v>218</v>
      </c>
      <c r="B220" s="5" t="str">
        <f>"刘凤芝"</f>
        <v>刘凤芝</v>
      </c>
      <c r="C220" s="5"/>
      <c r="D220" s="5" t="str">
        <f>"20228027609"</f>
        <v>20228027609</v>
      </c>
      <c r="E220" s="5" t="str">
        <f t="shared" si="16"/>
        <v>20220212</v>
      </c>
      <c r="F220" s="6">
        <v>79.88</v>
      </c>
      <c r="G220" s="6">
        <v>96.9</v>
      </c>
      <c r="H220" s="6">
        <v>90.09</v>
      </c>
    </row>
    <row r="221" ht="20" customHeight="1" spans="1:8">
      <c r="A221" s="4">
        <v>219</v>
      </c>
      <c r="B221" s="5" t="str">
        <f>"陆龙龙"</f>
        <v>陆龙龙</v>
      </c>
      <c r="C221" s="5"/>
      <c r="D221" s="5" t="str">
        <f>"20228027514"</f>
        <v>20228027514</v>
      </c>
      <c r="E221" s="5" t="str">
        <f t="shared" si="16"/>
        <v>20220212</v>
      </c>
      <c r="F221" s="6">
        <v>79.11</v>
      </c>
      <c r="G221" s="6">
        <v>97.2</v>
      </c>
      <c r="H221" s="6">
        <v>89.96</v>
      </c>
    </row>
    <row r="222" ht="20" customHeight="1" spans="1:8">
      <c r="A222" s="4">
        <v>220</v>
      </c>
      <c r="B222" s="5" t="str">
        <f>"李义博"</f>
        <v>李义博</v>
      </c>
      <c r="C222" s="5"/>
      <c r="D222" s="5" t="str">
        <f>"20228027727"</f>
        <v>20228027727</v>
      </c>
      <c r="E222" s="5" t="str">
        <f t="shared" si="16"/>
        <v>20220212</v>
      </c>
      <c r="F222" s="6">
        <v>89.37</v>
      </c>
      <c r="G222" s="6">
        <v>90.2</v>
      </c>
      <c r="H222" s="6">
        <v>89.87</v>
      </c>
    </row>
    <row r="223" ht="20" customHeight="1" spans="1:8">
      <c r="A223" s="4">
        <v>221</v>
      </c>
      <c r="B223" s="5" t="str">
        <f>"刘雪龙"</f>
        <v>刘雪龙</v>
      </c>
      <c r="C223" s="5"/>
      <c r="D223" s="5" t="str">
        <f>"20228027717"</f>
        <v>20228027717</v>
      </c>
      <c r="E223" s="5" t="str">
        <f t="shared" si="16"/>
        <v>20220212</v>
      </c>
      <c r="F223" s="6">
        <v>83.15</v>
      </c>
      <c r="G223" s="6">
        <v>94.2</v>
      </c>
      <c r="H223" s="6">
        <v>89.78</v>
      </c>
    </row>
    <row r="224" ht="20" customHeight="1" spans="1:8">
      <c r="A224" s="4">
        <v>222</v>
      </c>
      <c r="B224" s="5" t="str">
        <f>"张晶晶"</f>
        <v>张晶晶</v>
      </c>
      <c r="C224" s="5"/>
      <c r="D224" s="5" t="str">
        <f>"20228027225"</f>
        <v>20228027225</v>
      </c>
      <c r="E224" s="5" t="str">
        <f t="shared" ref="E224:E229" si="17">"20220213"</f>
        <v>20220213</v>
      </c>
      <c r="F224" s="6">
        <v>93.94</v>
      </c>
      <c r="G224" s="6">
        <v>106.2</v>
      </c>
      <c r="H224" s="6">
        <v>101.3</v>
      </c>
    </row>
    <row r="225" ht="20" customHeight="1" spans="1:8">
      <c r="A225" s="4">
        <v>223</v>
      </c>
      <c r="B225" s="5" t="str">
        <f>"张旋"</f>
        <v>张旋</v>
      </c>
      <c r="C225" s="5"/>
      <c r="D225" s="5" t="str">
        <f>"20228026726"</f>
        <v>20228026726</v>
      </c>
      <c r="E225" s="5" t="str">
        <f t="shared" si="17"/>
        <v>20220213</v>
      </c>
      <c r="F225" s="6">
        <v>96.33</v>
      </c>
      <c r="G225" s="6">
        <v>104.3</v>
      </c>
      <c r="H225" s="6">
        <v>101.11</v>
      </c>
    </row>
    <row r="226" ht="20" customHeight="1" spans="1:8">
      <c r="A226" s="4">
        <v>224</v>
      </c>
      <c r="B226" s="5" t="str">
        <f>"魏芳"</f>
        <v>魏芳</v>
      </c>
      <c r="C226" s="5"/>
      <c r="D226" s="5" t="str">
        <f>"20228026922"</f>
        <v>20228026922</v>
      </c>
      <c r="E226" s="5" t="str">
        <f t="shared" si="17"/>
        <v>20220213</v>
      </c>
      <c r="F226" s="6">
        <v>89.03</v>
      </c>
      <c r="G226" s="6">
        <v>108.1</v>
      </c>
      <c r="H226" s="6">
        <v>100.47</v>
      </c>
    </row>
    <row r="227" ht="20" customHeight="1" spans="1:8">
      <c r="A227" s="4">
        <v>225</v>
      </c>
      <c r="B227" s="5" t="str">
        <f>"胡传业"</f>
        <v>胡传业</v>
      </c>
      <c r="C227" s="5"/>
      <c r="D227" s="5" t="str">
        <f>"20228026803"</f>
        <v>20228026803</v>
      </c>
      <c r="E227" s="5" t="str">
        <f t="shared" si="17"/>
        <v>20220213</v>
      </c>
      <c r="F227" s="6">
        <v>94.69</v>
      </c>
      <c r="G227" s="6">
        <v>103.5</v>
      </c>
      <c r="H227" s="6">
        <v>99.98</v>
      </c>
    </row>
    <row r="228" ht="20" customHeight="1" spans="1:8">
      <c r="A228" s="4">
        <v>226</v>
      </c>
      <c r="B228" s="5" t="str">
        <f>"曹倩"</f>
        <v>曹倩</v>
      </c>
      <c r="C228" s="5"/>
      <c r="D228" s="5" t="str">
        <f>"20228027128"</f>
        <v>20228027128</v>
      </c>
      <c r="E228" s="5" t="str">
        <f t="shared" si="17"/>
        <v>20220213</v>
      </c>
      <c r="F228" s="6">
        <v>87.98</v>
      </c>
      <c r="G228" s="6">
        <v>107.5</v>
      </c>
      <c r="H228" s="6">
        <v>99.69</v>
      </c>
    </row>
    <row r="229" ht="20" customHeight="1" spans="1:8">
      <c r="A229" s="4">
        <v>227</v>
      </c>
      <c r="B229" s="5" t="str">
        <f>"张钰"</f>
        <v>张钰</v>
      </c>
      <c r="C229" s="5"/>
      <c r="D229" s="5" t="str">
        <f>"20228027207"</f>
        <v>20228027207</v>
      </c>
      <c r="E229" s="5" t="str">
        <f t="shared" si="17"/>
        <v>20220213</v>
      </c>
      <c r="F229" s="6">
        <v>94.43</v>
      </c>
      <c r="G229" s="6">
        <v>101.8</v>
      </c>
      <c r="H229" s="6">
        <v>98.85</v>
      </c>
    </row>
    <row r="230" ht="20" customHeight="1" spans="1:8">
      <c r="A230" s="4">
        <v>228</v>
      </c>
      <c r="B230" s="5" t="str">
        <f>"闫岩"</f>
        <v>闫岩</v>
      </c>
      <c r="C230" s="5"/>
      <c r="D230" s="5" t="str">
        <f>"20228025517"</f>
        <v>20228025517</v>
      </c>
      <c r="E230" s="5" t="str">
        <f>"20220214"</f>
        <v>20220214</v>
      </c>
      <c r="F230" s="6">
        <v>84.04</v>
      </c>
      <c r="G230" s="6">
        <v>100.7</v>
      </c>
      <c r="H230" s="6">
        <v>94.04</v>
      </c>
    </row>
    <row r="231" ht="20" customHeight="1" spans="1:8">
      <c r="A231" s="4">
        <v>229</v>
      </c>
      <c r="B231" s="5" t="str">
        <f>"林淑悦"</f>
        <v>林淑悦</v>
      </c>
      <c r="C231" s="5"/>
      <c r="D231" s="5" t="str">
        <f>"20228025522"</f>
        <v>20228025522</v>
      </c>
      <c r="E231" s="5" t="str">
        <f>"20220214"</f>
        <v>20220214</v>
      </c>
      <c r="F231" s="6">
        <v>86.13</v>
      </c>
      <c r="G231" s="6">
        <v>98.2</v>
      </c>
      <c r="H231" s="6">
        <v>93.37</v>
      </c>
    </row>
    <row r="232" ht="20" customHeight="1" spans="1:8">
      <c r="A232" s="4">
        <v>230</v>
      </c>
      <c r="B232" s="5" t="str">
        <f>"牛宇辰"</f>
        <v>牛宇辰</v>
      </c>
      <c r="C232" s="5"/>
      <c r="D232" s="5" t="str">
        <f>"20228025523"</f>
        <v>20228025523</v>
      </c>
      <c r="E232" s="5" t="str">
        <f>"20220214"</f>
        <v>20220214</v>
      </c>
      <c r="F232" s="6">
        <v>78.84</v>
      </c>
      <c r="G232" s="6">
        <v>96.1</v>
      </c>
      <c r="H232" s="6">
        <v>89.2</v>
      </c>
    </row>
    <row r="233" ht="20" customHeight="1" spans="1:8">
      <c r="A233" s="4">
        <v>231</v>
      </c>
      <c r="B233" s="5" t="str">
        <f>"李彩彩"</f>
        <v>李彩彩</v>
      </c>
      <c r="C233" s="5"/>
      <c r="D233" s="5" t="str">
        <f>"20228011704"</f>
        <v>20228011704</v>
      </c>
      <c r="E233" s="5" t="str">
        <f t="shared" ref="E233:E296" si="18">"20220301"</f>
        <v>20220301</v>
      </c>
      <c r="F233" s="6">
        <v>100.1</v>
      </c>
      <c r="G233" s="6">
        <v>96.5</v>
      </c>
      <c r="H233" s="6">
        <v>97.94</v>
      </c>
    </row>
    <row r="234" ht="20" customHeight="1" spans="1:8">
      <c r="A234" s="4">
        <v>232</v>
      </c>
      <c r="B234" s="5" t="str">
        <f>"邢萌萌"</f>
        <v>邢萌萌</v>
      </c>
      <c r="C234" s="5"/>
      <c r="D234" s="5" t="str">
        <f>"20228010429"</f>
        <v>20228010429</v>
      </c>
      <c r="E234" s="5" t="str">
        <f t="shared" si="18"/>
        <v>20220301</v>
      </c>
      <c r="F234" s="6">
        <v>99.9</v>
      </c>
      <c r="G234" s="6">
        <v>96.4</v>
      </c>
      <c r="H234" s="6">
        <v>97.8</v>
      </c>
    </row>
    <row r="235" ht="20" customHeight="1" spans="1:8">
      <c r="A235" s="4">
        <v>233</v>
      </c>
      <c r="B235" s="5" t="str">
        <f>"李星辰"</f>
        <v>李星辰</v>
      </c>
      <c r="C235" s="5"/>
      <c r="D235" s="5" t="str">
        <f>"20228010604"</f>
        <v>20228010604</v>
      </c>
      <c r="E235" s="5" t="str">
        <f t="shared" si="18"/>
        <v>20220301</v>
      </c>
      <c r="F235" s="6">
        <v>103.2</v>
      </c>
      <c r="G235" s="6">
        <v>94.1</v>
      </c>
      <c r="H235" s="6">
        <v>97.74</v>
      </c>
    </row>
    <row r="236" ht="20" customHeight="1" spans="1:8">
      <c r="A236" s="4">
        <v>234</v>
      </c>
      <c r="B236" s="5" t="str">
        <f>"孙会会"</f>
        <v>孙会会</v>
      </c>
      <c r="C236" s="5"/>
      <c r="D236" s="5" t="str">
        <f>"20228011116"</f>
        <v>20228011116</v>
      </c>
      <c r="E236" s="5" t="str">
        <f t="shared" si="18"/>
        <v>20220301</v>
      </c>
      <c r="F236" s="6">
        <v>102.5</v>
      </c>
      <c r="G236" s="6">
        <v>94.5</v>
      </c>
      <c r="H236" s="6">
        <v>97.7</v>
      </c>
    </row>
    <row r="237" ht="20" customHeight="1" spans="1:8">
      <c r="A237" s="4">
        <v>235</v>
      </c>
      <c r="B237" s="5" t="str">
        <f>"李静静"</f>
        <v>李静静</v>
      </c>
      <c r="C237" s="5"/>
      <c r="D237" s="5" t="str">
        <f>"20228011026"</f>
        <v>20228011026</v>
      </c>
      <c r="E237" s="5" t="str">
        <f t="shared" si="18"/>
        <v>20220301</v>
      </c>
      <c r="F237" s="6">
        <v>100</v>
      </c>
      <c r="G237" s="6">
        <v>96</v>
      </c>
      <c r="H237" s="6">
        <v>97.6</v>
      </c>
    </row>
    <row r="238" ht="20" customHeight="1" spans="1:8">
      <c r="A238" s="4">
        <v>236</v>
      </c>
      <c r="B238" s="5" t="str">
        <f>"李童童"</f>
        <v>李童童</v>
      </c>
      <c r="C238" s="5"/>
      <c r="D238" s="5" t="str">
        <f>"20228010425"</f>
        <v>20228010425</v>
      </c>
      <c r="E238" s="5" t="str">
        <f t="shared" si="18"/>
        <v>20220301</v>
      </c>
      <c r="F238" s="6">
        <v>103.4</v>
      </c>
      <c r="G238" s="6">
        <v>93.1</v>
      </c>
      <c r="H238" s="6">
        <v>97.22</v>
      </c>
    </row>
    <row r="239" ht="20" customHeight="1" spans="1:8">
      <c r="A239" s="4">
        <v>237</v>
      </c>
      <c r="B239" s="5" t="str">
        <f>"丁思雨"</f>
        <v>丁思雨</v>
      </c>
      <c r="C239" s="5"/>
      <c r="D239" s="5" t="str">
        <f>"20228011505"</f>
        <v>20228011505</v>
      </c>
      <c r="E239" s="5" t="str">
        <f t="shared" si="18"/>
        <v>20220301</v>
      </c>
      <c r="F239" s="6">
        <v>98.1</v>
      </c>
      <c r="G239" s="6">
        <v>96.4</v>
      </c>
      <c r="H239" s="6">
        <v>97.08</v>
      </c>
    </row>
    <row r="240" ht="20" customHeight="1" spans="1:8">
      <c r="A240" s="4">
        <v>238</v>
      </c>
      <c r="B240" s="5" t="str">
        <f>"罗小玲"</f>
        <v>罗小玲</v>
      </c>
      <c r="C240" s="5"/>
      <c r="D240" s="5" t="str">
        <f>"20228011322"</f>
        <v>20228011322</v>
      </c>
      <c r="E240" s="5" t="str">
        <f t="shared" si="18"/>
        <v>20220301</v>
      </c>
      <c r="F240" s="6">
        <v>104</v>
      </c>
      <c r="G240" s="6">
        <v>91.8</v>
      </c>
      <c r="H240" s="6">
        <v>96.68</v>
      </c>
    </row>
    <row r="241" ht="20" customHeight="1" spans="1:8">
      <c r="A241" s="4">
        <v>239</v>
      </c>
      <c r="B241" s="5" t="str">
        <f>"程馨语"</f>
        <v>程馨语</v>
      </c>
      <c r="C241" s="5"/>
      <c r="D241" s="5" t="str">
        <f>"20228011605"</f>
        <v>20228011605</v>
      </c>
      <c r="E241" s="5" t="str">
        <f t="shared" si="18"/>
        <v>20220301</v>
      </c>
      <c r="F241" s="6">
        <v>106.1</v>
      </c>
      <c r="G241" s="6">
        <v>90.4</v>
      </c>
      <c r="H241" s="6">
        <v>96.68</v>
      </c>
    </row>
    <row r="242" ht="20" customHeight="1" spans="1:8">
      <c r="A242" s="4">
        <v>240</v>
      </c>
      <c r="B242" s="5" t="str">
        <f>"王静"</f>
        <v>王静</v>
      </c>
      <c r="C242" s="5"/>
      <c r="D242" s="5" t="str">
        <f>"20228011013"</f>
        <v>20228011013</v>
      </c>
      <c r="E242" s="5" t="str">
        <f t="shared" si="18"/>
        <v>20220301</v>
      </c>
      <c r="F242" s="6">
        <v>99.7</v>
      </c>
      <c r="G242" s="6">
        <v>93.9</v>
      </c>
      <c r="H242" s="6">
        <v>96.22</v>
      </c>
    </row>
    <row r="243" ht="20" customHeight="1" spans="1:8">
      <c r="A243" s="4">
        <v>241</v>
      </c>
      <c r="B243" s="5" t="str">
        <f>"李宋宋"</f>
        <v>李宋宋</v>
      </c>
      <c r="C243" s="5"/>
      <c r="D243" s="5" t="str">
        <f>"20228010211"</f>
        <v>20228010211</v>
      </c>
      <c r="E243" s="5" t="str">
        <f t="shared" si="18"/>
        <v>20220301</v>
      </c>
      <c r="F243" s="6">
        <v>97.7</v>
      </c>
      <c r="G243" s="6">
        <v>94.4</v>
      </c>
      <c r="H243" s="6">
        <v>95.72</v>
      </c>
    </row>
    <row r="244" ht="20" customHeight="1" spans="1:8">
      <c r="A244" s="4">
        <v>242</v>
      </c>
      <c r="B244" s="5" t="str">
        <f>"张颖"</f>
        <v>张颖</v>
      </c>
      <c r="C244" s="5"/>
      <c r="D244" s="5" t="str">
        <f>"20228011309"</f>
        <v>20228011309</v>
      </c>
      <c r="E244" s="5" t="str">
        <f t="shared" si="18"/>
        <v>20220301</v>
      </c>
      <c r="F244" s="6">
        <v>105.5</v>
      </c>
      <c r="G244" s="6">
        <v>89.2</v>
      </c>
      <c r="H244" s="6">
        <v>95.72</v>
      </c>
    </row>
    <row r="245" ht="20" customHeight="1" spans="1:8">
      <c r="A245" s="4">
        <v>243</v>
      </c>
      <c r="B245" s="5" t="str">
        <f>"王心妍"</f>
        <v>王心妍</v>
      </c>
      <c r="C245" s="5"/>
      <c r="D245" s="5" t="str">
        <f>"20228010713"</f>
        <v>20228010713</v>
      </c>
      <c r="E245" s="5" t="str">
        <f t="shared" si="18"/>
        <v>20220301</v>
      </c>
      <c r="F245" s="6">
        <v>104.7</v>
      </c>
      <c r="G245" s="6">
        <v>89.6</v>
      </c>
      <c r="H245" s="6">
        <v>95.64</v>
      </c>
    </row>
    <row r="246" ht="20" customHeight="1" spans="1:8">
      <c r="A246" s="4">
        <v>244</v>
      </c>
      <c r="B246" s="5" t="str">
        <f>"赵巧艳"</f>
        <v>赵巧艳</v>
      </c>
      <c r="C246" s="5"/>
      <c r="D246" s="5" t="str">
        <f>"20228010630"</f>
        <v>20228010630</v>
      </c>
      <c r="E246" s="5" t="str">
        <f t="shared" si="18"/>
        <v>20220301</v>
      </c>
      <c r="F246" s="6">
        <v>99.2</v>
      </c>
      <c r="G246" s="6">
        <v>92.8</v>
      </c>
      <c r="H246" s="6">
        <v>95.36</v>
      </c>
    </row>
    <row r="247" ht="20" customHeight="1" spans="1:8">
      <c r="A247" s="4">
        <v>245</v>
      </c>
      <c r="B247" s="5" t="str">
        <f>"孙影"</f>
        <v>孙影</v>
      </c>
      <c r="C247" s="5"/>
      <c r="D247" s="5" t="str">
        <f>"20228011518"</f>
        <v>20228011518</v>
      </c>
      <c r="E247" s="5" t="str">
        <f t="shared" si="18"/>
        <v>20220301</v>
      </c>
      <c r="F247" s="6">
        <v>100.1</v>
      </c>
      <c r="G247" s="6">
        <v>92.2</v>
      </c>
      <c r="H247" s="6">
        <v>95.36</v>
      </c>
    </row>
    <row r="248" ht="20" customHeight="1" spans="1:8">
      <c r="A248" s="4">
        <v>246</v>
      </c>
      <c r="B248" s="5" t="str">
        <f>"许越"</f>
        <v>许越</v>
      </c>
      <c r="C248" s="5"/>
      <c r="D248" s="5" t="str">
        <f>"20228011501"</f>
        <v>20228011501</v>
      </c>
      <c r="E248" s="5" t="str">
        <f t="shared" si="18"/>
        <v>20220301</v>
      </c>
      <c r="F248" s="6">
        <v>94.2</v>
      </c>
      <c r="G248" s="6">
        <v>96.1</v>
      </c>
      <c r="H248" s="6">
        <v>95.34</v>
      </c>
    </row>
    <row r="249" ht="20" customHeight="1" spans="1:8">
      <c r="A249" s="4">
        <v>247</v>
      </c>
      <c r="B249" s="5" t="str">
        <f>"张岩岩"</f>
        <v>张岩岩</v>
      </c>
      <c r="C249" s="5"/>
      <c r="D249" s="5" t="str">
        <f>"20228010701"</f>
        <v>20228010701</v>
      </c>
      <c r="E249" s="5" t="str">
        <f t="shared" si="18"/>
        <v>20220301</v>
      </c>
      <c r="F249" s="6">
        <v>95.3</v>
      </c>
      <c r="G249" s="6">
        <v>95.3</v>
      </c>
      <c r="H249" s="6">
        <v>95.3</v>
      </c>
    </row>
    <row r="250" ht="20" customHeight="1" spans="1:8">
      <c r="A250" s="4">
        <v>248</v>
      </c>
      <c r="B250" s="5" t="str">
        <f>"崔婷"</f>
        <v>崔婷</v>
      </c>
      <c r="C250" s="5"/>
      <c r="D250" s="5" t="str">
        <f>"20228011606"</f>
        <v>20228011606</v>
      </c>
      <c r="E250" s="5" t="str">
        <f t="shared" si="18"/>
        <v>20220301</v>
      </c>
      <c r="F250" s="6">
        <v>100.6</v>
      </c>
      <c r="G250" s="6">
        <v>91.2</v>
      </c>
      <c r="H250" s="6">
        <v>94.96</v>
      </c>
    </row>
    <row r="251" ht="20" customHeight="1" spans="1:8">
      <c r="A251" s="4">
        <v>249</v>
      </c>
      <c r="B251" s="5" t="str">
        <f>"李淼淼"</f>
        <v>李淼淼</v>
      </c>
      <c r="C251" s="5"/>
      <c r="D251" s="5" t="str">
        <f>"20228013007"</f>
        <v>20228013007</v>
      </c>
      <c r="E251" s="5" t="str">
        <f t="shared" ref="E251:E314" si="19">"20220302"</f>
        <v>20220302</v>
      </c>
      <c r="F251" s="6">
        <v>107.2</v>
      </c>
      <c r="G251" s="6">
        <v>94.3</v>
      </c>
      <c r="H251" s="6">
        <v>99.46</v>
      </c>
    </row>
    <row r="252" ht="20" customHeight="1" spans="1:8">
      <c r="A252" s="4">
        <v>250</v>
      </c>
      <c r="B252" s="5" t="str">
        <f>"李翠婷"</f>
        <v>李翠婷</v>
      </c>
      <c r="C252" s="5"/>
      <c r="D252" s="5" t="str">
        <f>"20228013101"</f>
        <v>20228013101</v>
      </c>
      <c r="E252" s="5" t="str">
        <f t="shared" si="19"/>
        <v>20220302</v>
      </c>
      <c r="F252" s="6">
        <v>103.1</v>
      </c>
      <c r="G252" s="6">
        <v>95.9</v>
      </c>
      <c r="H252" s="6">
        <v>98.78</v>
      </c>
    </row>
    <row r="253" ht="20" customHeight="1" spans="1:8">
      <c r="A253" s="4">
        <v>251</v>
      </c>
      <c r="B253" s="5" t="str">
        <f>"盛雨晨"</f>
        <v>盛雨晨</v>
      </c>
      <c r="C253" s="5"/>
      <c r="D253" s="5" t="str">
        <f>"20228012005"</f>
        <v>20228012005</v>
      </c>
      <c r="E253" s="5" t="str">
        <f t="shared" si="19"/>
        <v>20220302</v>
      </c>
      <c r="F253" s="6">
        <v>101.7</v>
      </c>
      <c r="G253" s="6">
        <v>94.7</v>
      </c>
      <c r="H253" s="6">
        <v>97.5</v>
      </c>
    </row>
    <row r="254" ht="20" customHeight="1" spans="1:8">
      <c r="A254" s="4">
        <v>252</v>
      </c>
      <c r="B254" s="5" t="str">
        <f>"王静"</f>
        <v>王静</v>
      </c>
      <c r="C254" s="5"/>
      <c r="D254" s="5" t="str">
        <f>"20228012129"</f>
        <v>20228012129</v>
      </c>
      <c r="E254" s="5" t="str">
        <f t="shared" si="19"/>
        <v>20220302</v>
      </c>
      <c r="F254" s="6">
        <v>101</v>
      </c>
      <c r="G254" s="6">
        <v>94.5</v>
      </c>
      <c r="H254" s="6">
        <v>97.1</v>
      </c>
    </row>
    <row r="255" ht="20" customHeight="1" spans="1:8">
      <c r="A255" s="4">
        <v>253</v>
      </c>
      <c r="B255" s="5" t="str">
        <f>"牛营营"</f>
        <v>牛营营</v>
      </c>
      <c r="C255" s="5"/>
      <c r="D255" s="5" t="str">
        <f>"20228012822"</f>
        <v>20228012822</v>
      </c>
      <c r="E255" s="5" t="str">
        <f t="shared" si="19"/>
        <v>20220302</v>
      </c>
      <c r="F255" s="6">
        <v>106.7</v>
      </c>
      <c r="G255" s="6">
        <v>90.6</v>
      </c>
      <c r="H255" s="6">
        <v>97.04</v>
      </c>
    </row>
    <row r="256" ht="20" customHeight="1" spans="1:8">
      <c r="A256" s="4">
        <v>254</v>
      </c>
      <c r="B256" s="5" t="str">
        <f>"盛倩雯"</f>
        <v>盛倩雯</v>
      </c>
      <c r="C256" s="5"/>
      <c r="D256" s="5" t="str">
        <f>"20228012904"</f>
        <v>20228012904</v>
      </c>
      <c r="E256" s="5" t="str">
        <f t="shared" si="19"/>
        <v>20220302</v>
      </c>
      <c r="F256" s="6">
        <v>102.5</v>
      </c>
      <c r="G256" s="6">
        <v>92.4</v>
      </c>
      <c r="H256" s="6">
        <v>96.44</v>
      </c>
    </row>
    <row r="257" ht="20" customHeight="1" spans="1:8">
      <c r="A257" s="4">
        <v>255</v>
      </c>
      <c r="B257" s="5" t="str">
        <f>"朱家茂"</f>
        <v>朱家茂</v>
      </c>
      <c r="C257" s="5"/>
      <c r="D257" s="5" t="str">
        <f>"20228013201"</f>
        <v>20228013201</v>
      </c>
      <c r="E257" s="5" t="str">
        <f t="shared" si="19"/>
        <v>20220302</v>
      </c>
      <c r="F257" s="6">
        <v>101</v>
      </c>
      <c r="G257" s="6">
        <v>93.3</v>
      </c>
      <c r="H257" s="6">
        <v>96.38</v>
      </c>
    </row>
    <row r="258" ht="20" customHeight="1" spans="1:8">
      <c r="A258" s="4">
        <v>256</v>
      </c>
      <c r="B258" s="5" t="str">
        <f>"卞文心"</f>
        <v>卞文心</v>
      </c>
      <c r="C258" s="5"/>
      <c r="D258" s="5" t="str">
        <f>"20228012325"</f>
        <v>20228012325</v>
      </c>
      <c r="E258" s="5" t="str">
        <f t="shared" si="19"/>
        <v>20220302</v>
      </c>
      <c r="F258" s="6">
        <v>102.7</v>
      </c>
      <c r="G258" s="6">
        <v>91.7</v>
      </c>
      <c r="H258" s="6">
        <v>96.1</v>
      </c>
    </row>
    <row r="259" ht="20" customHeight="1" spans="1:8">
      <c r="A259" s="4">
        <v>257</v>
      </c>
      <c r="B259" s="5" t="str">
        <f>"费霏"</f>
        <v>费霏</v>
      </c>
      <c r="C259" s="5"/>
      <c r="D259" s="5" t="str">
        <f>"20228013212"</f>
        <v>20228013212</v>
      </c>
      <c r="E259" s="5" t="str">
        <f t="shared" si="19"/>
        <v>20220302</v>
      </c>
      <c r="F259" s="6">
        <v>95.9</v>
      </c>
      <c r="G259" s="6">
        <v>96.2</v>
      </c>
      <c r="H259" s="6">
        <v>96.08</v>
      </c>
    </row>
    <row r="260" ht="20" customHeight="1" spans="1:8">
      <c r="A260" s="4">
        <v>258</v>
      </c>
      <c r="B260" s="5" t="str">
        <f>"邓洁"</f>
        <v>邓洁</v>
      </c>
      <c r="C260" s="5"/>
      <c r="D260" s="5" t="str">
        <f>"20228013125"</f>
        <v>20228013125</v>
      </c>
      <c r="E260" s="5" t="str">
        <f t="shared" si="19"/>
        <v>20220302</v>
      </c>
      <c r="F260" s="6">
        <v>102.3</v>
      </c>
      <c r="G260" s="6">
        <v>91.2</v>
      </c>
      <c r="H260" s="6">
        <v>95.64</v>
      </c>
    </row>
    <row r="261" ht="20" customHeight="1" spans="1:8">
      <c r="A261" s="4">
        <v>259</v>
      </c>
      <c r="B261" s="5" t="str">
        <f>"郑慧丹"</f>
        <v>郑慧丹</v>
      </c>
      <c r="C261" s="5"/>
      <c r="D261" s="5" t="str">
        <f>"20228012630"</f>
        <v>20228012630</v>
      </c>
      <c r="E261" s="5" t="str">
        <f t="shared" si="19"/>
        <v>20220302</v>
      </c>
      <c r="F261" s="6">
        <v>96.3</v>
      </c>
      <c r="G261" s="6">
        <v>95.1</v>
      </c>
      <c r="H261" s="6">
        <v>95.58</v>
      </c>
    </row>
    <row r="262" ht="20" customHeight="1" spans="1:8">
      <c r="A262" s="4">
        <v>260</v>
      </c>
      <c r="B262" s="5" t="str">
        <f>"刘金玲"</f>
        <v>刘金玲</v>
      </c>
      <c r="C262" s="5"/>
      <c r="D262" s="5" t="str">
        <f>"20228013317"</f>
        <v>20228013317</v>
      </c>
      <c r="E262" s="5" t="str">
        <f t="shared" si="19"/>
        <v>20220302</v>
      </c>
      <c r="F262" s="6">
        <v>102.5</v>
      </c>
      <c r="G262" s="6">
        <v>90.7</v>
      </c>
      <c r="H262" s="6">
        <v>95.42</v>
      </c>
    </row>
    <row r="263" ht="20" customHeight="1" spans="1:8">
      <c r="A263" s="4">
        <v>261</v>
      </c>
      <c r="B263" s="5" t="str">
        <f>"阮亚萍"</f>
        <v>阮亚萍</v>
      </c>
      <c r="C263" s="5"/>
      <c r="D263" s="5" t="str">
        <f>"20228013322"</f>
        <v>20228013322</v>
      </c>
      <c r="E263" s="5" t="str">
        <f t="shared" si="19"/>
        <v>20220302</v>
      </c>
      <c r="F263" s="6">
        <v>96.8</v>
      </c>
      <c r="G263" s="6">
        <v>94.5</v>
      </c>
      <c r="H263" s="6">
        <v>95.42</v>
      </c>
    </row>
    <row r="264" ht="20" customHeight="1" spans="1:8">
      <c r="A264" s="4">
        <v>262</v>
      </c>
      <c r="B264" s="5" t="str">
        <f>"郭英杰"</f>
        <v>郭英杰</v>
      </c>
      <c r="C264" s="5"/>
      <c r="D264" s="5" t="str">
        <f>"20228012604"</f>
        <v>20228012604</v>
      </c>
      <c r="E264" s="5" t="str">
        <f t="shared" si="19"/>
        <v>20220302</v>
      </c>
      <c r="F264" s="6">
        <v>98.9</v>
      </c>
      <c r="G264" s="6">
        <v>92.9</v>
      </c>
      <c r="H264" s="6">
        <v>95.3</v>
      </c>
    </row>
    <row r="265" ht="20" customHeight="1" spans="1:8">
      <c r="A265" s="4">
        <v>263</v>
      </c>
      <c r="B265" s="5" t="str">
        <f>"信晓莉"</f>
        <v>信晓莉</v>
      </c>
      <c r="C265" s="5"/>
      <c r="D265" s="5" t="str">
        <f>"20228013318"</f>
        <v>20228013318</v>
      </c>
      <c r="E265" s="5" t="str">
        <f t="shared" si="19"/>
        <v>20220302</v>
      </c>
      <c r="F265" s="6">
        <v>96.7</v>
      </c>
      <c r="G265" s="6">
        <v>94.3</v>
      </c>
      <c r="H265" s="6">
        <v>95.26</v>
      </c>
    </row>
    <row r="266" ht="20" customHeight="1" spans="1:8">
      <c r="A266" s="4">
        <v>264</v>
      </c>
      <c r="B266" s="5" t="str">
        <f>"马翌翾"</f>
        <v>马翌翾</v>
      </c>
      <c r="C266" s="5"/>
      <c r="D266" s="5" t="str">
        <f>"20228013324"</f>
        <v>20228013324</v>
      </c>
      <c r="E266" s="5" t="str">
        <f t="shared" si="19"/>
        <v>20220302</v>
      </c>
      <c r="F266" s="6">
        <v>103.6</v>
      </c>
      <c r="G266" s="6">
        <v>89.7</v>
      </c>
      <c r="H266" s="6">
        <v>95.26</v>
      </c>
    </row>
    <row r="267" ht="20" customHeight="1" spans="1:8">
      <c r="A267" s="4">
        <v>265</v>
      </c>
      <c r="B267" s="5" t="str">
        <f>"李永芳"</f>
        <v>李永芳</v>
      </c>
      <c r="C267" s="5"/>
      <c r="D267" s="5" t="str">
        <f>"20228012607"</f>
        <v>20228012607</v>
      </c>
      <c r="E267" s="5" t="str">
        <f t="shared" si="19"/>
        <v>20220302</v>
      </c>
      <c r="F267" s="6">
        <v>93.2</v>
      </c>
      <c r="G267" s="6">
        <v>96.4</v>
      </c>
      <c r="H267" s="6">
        <v>95.12</v>
      </c>
    </row>
    <row r="268" ht="20" customHeight="1" spans="1:8">
      <c r="A268" s="4">
        <v>266</v>
      </c>
      <c r="B268" s="5" t="str">
        <f>"姜文静"</f>
        <v>姜文静</v>
      </c>
      <c r="C268" s="5"/>
      <c r="D268" s="5" t="str">
        <f>"20228013219"</f>
        <v>20228013219</v>
      </c>
      <c r="E268" s="5" t="str">
        <f t="shared" si="19"/>
        <v>20220302</v>
      </c>
      <c r="F268" s="6">
        <v>103.4</v>
      </c>
      <c r="G268" s="6">
        <v>89.6</v>
      </c>
      <c r="H268" s="6">
        <v>95.12</v>
      </c>
    </row>
    <row r="269" ht="20" customHeight="1" spans="1:8">
      <c r="A269" s="4">
        <v>267</v>
      </c>
      <c r="B269" s="5" t="str">
        <f>"赵李"</f>
        <v>赵李</v>
      </c>
      <c r="C269" s="5"/>
      <c r="D269" s="5" t="str">
        <f>"20228020613"</f>
        <v>20228020613</v>
      </c>
      <c r="E269" s="5" t="str">
        <f t="shared" ref="E269:E332" si="20">"20220303"</f>
        <v>20220303</v>
      </c>
      <c r="F269" s="6">
        <v>97.5</v>
      </c>
      <c r="G269" s="6">
        <v>101.3</v>
      </c>
      <c r="H269" s="6">
        <v>99.78</v>
      </c>
    </row>
    <row r="270" ht="20" customHeight="1" spans="1:8">
      <c r="A270" s="4">
        <v>268</v>
      </c>
      <c r="B270" s="5" t="str">
        <f>"张霞"</f>
        <v>张霞</v>
      </c>
      <c r="C270" s="5"/>
      <c r="D270" s="5" t="str">
        <f>"20228020128"</f>
        <v>20228020128</v>
      </c>
      <c r="E270" s="5" t="str">
        <f t="shared" si="20"/>
        <v>20220303</v>
      </c>
      <c r="F270" s="6">
        <v>100.1</v>
      </c>
      <c r="G270" s="6">
        <v>98.1</v>
      </c>
      <c r="H270" s="6">
        <v>98.9</v>
      </c>
    </row>
    <row r="271" ht="20" customHeight="1" spans="1:8">
      <c r="A271" s="4">
        <v>269</v>
      </c>
      <c r="B271" s="5" t="str">
        <f>"王楠"</f>
        <v>王楠</v>
      </c>
      <c r="C271" s="5"/>
      <c r="D271" s="5" t="str">
        <f>"20228020315"</f>
        <v>20228020315</v>
      </c>
      <c r="E271" s="5" t="str">
        <f t="shared" si="20"/>
        <v>20220303</v>
      </c>
      <c r="F271" s="6">
        <v>96.8</v>
      </c>
      <c r="G271" s="6">
        <v>99.1</v>
      </c>
      <c r="H271" s="6">
        <v>98.18</v>
      </c>
    </row>
    <row r="272" ht="20" customHeight="1" spans="1:8">
      <c r="A272" s="4">
        <v>270</v>
      </c>
      <c r="B272" s="5" t="str">
        <f>"李宇翔"</f>
        <v>李宇翔</v>
      </c>
      <c r="C272" s="5"/>
      <c r="D272" s="5" t="str">
        <f>"20228020312"</f>
        <v>20228020312</v>
      </c>
      <c r="E272" s="5" t="str">
        <f t="shared" si="20"/>
        <v>20220303</v>
      </c>
      <c r="F272" s="6">
        <v>94.3</v>
      </c>
      <c r="G272" s="6">
        <v>99.1</v>
      </c>
      <c r="H272" s="6">
        <v>97.18</v>
      </c>
    </row>
    <row r="273" ht="20" customHeight="1" spans="1:8">
      <c r="A273" s="4">
        <v>271</v>
      </c>
      <c r="B273" s="5" t="str">
        <f>"巩阿倩"</f>
        <v>巩阿倩</v>
      </c>
      <c r="C273" s="5"/>
      <c r="D273" s="5" t="str">
        <f>"20228020422"</f>
        <v>20228020422</v>
      </c>
      <c r="E273" s="5" t="str">
        <f t="shared" si="20"/>
        <v>20220303</v>
      </c>
      <c r="F273" s="6">
        <v>97</v>
      </c>
      <c r="G273" s="6">
        <v>96.7</v>
      </c>
      <c r="H273" s="6">
        <v>96.82</v>
      </c>
    </row>
    <row r="274" ht="20" customHeight="1" spans="1:8">
      <c r="A274" s="4">
        <v>272</v>
      </c>
      <c r="B274" s="5" t="str">
        <f>"席铭哲"</f>
        <v>席铭哲</v>
      </c>
      <c r="C274" s="5"/>
      <c r="D274" s="5" t="str">
        <f>"20228020420"</f>
        <v>20228020420</v>
      </c>
      <c r="E274" s="5" t="str">
        <f t="shared" si="20"/>
        <v>20220303</v>
      </c>
      <c r="F274" s="6">
        <v>94.6</v>
      </c>
      <c r="G274" s="6">
        <v>96.4</v>
      </c>
      <c r="H274" s="6">
        <v>95.68</v>
      </c>
    </row>
    <row r="275" ht="20" customHeight="1" spans="1:8">
      <c r="A275" s="4">
        <v>273</v>
      </c>
      <c r="B275" s="5" t="str">
        <f>"刘月红"</f>
        <v>刘月红</v>
      </c>
      <c r="C275" s="5"/>
      <c r="D275" s="5" t="str">
        <f>"20228020112"</f>
        <v>20228020112</v>
      </c>
      <c r="E275" s="5" t="str">
        <f t="shared" si="20"/>
        <v>20220303</v>
      </c>
      <c r="F275" s="6">
        <v>94.6</v>
      </c>
      <c r="G275" s="6">
        <v>96</v>
      </c>
      <c r="H275" s="6">
        <v>95.44</v>
      </c>
    </row>
    <row r="276" ht="20" customHeight="1" spans="1:8">
      <c r="A276" s="4">
        <v>274</v>
      </c>
      <c r="B276" s="5" t="str">
        <f>"尚立翠"</f>
        <v>尚立翠</v>
      </c>
      <c r="C276" s="5"/>
      <c r="D276" s="5" t="str">
        <f>"20228020502"</f>
        <v>20228020502</v>
      </c>
      <c r="E276" s="5" t="str">
        <f t="shared" si="20"/>
        <v>20220303</v>
      </c>
      <c r="F276" s="6">
        <v>99.3</v>
      </c>
      <c r="G276" s="6">
        <v>92.7</v>
      </c>
      <c r="H276" s="6">
        <v>95.34</v>
      </c>
    </row>
    <row r="277" ht="20" customHeight="1" spans="1:8">
      <c r="A277" s="4">
        <v>275</v>
      </c>
      <c r="B277" s="5" t="str">
        <f>"刘娟"</f>
        <v>刘娟</v>
      </c>
      <c r="C277" s="5"/>
      <c r="D277" s="5" t="str">
        <f>"20228020516"</f>
        <v>20228020516</v>
      </c>
      <c r="E277" s="5" t="str">
        <f t="shared" si="20"/>
        <v>20220303</v>
      </c>
      <c r="F277" s="6">
        <v>98.1</v>
      </c>
      <c r="G277" s="6">
        <v>92.3</v>
      </c>
      <c r="H277" s="6">
        <v>94.62</v>
      </c>
    </row>
    <row r="278" ht="20" customHeight="1" spans="1:8">
      <c r="A278" s="4">
        <v>276</v>
      </c>
      <c r="B278" s="5" t="str">
        <f>"张印"</f>
        <v>张印</v>
      </c>
      <c r="C278" s="5"/>
      <c r="D278" s="5" t="str">
        <f>"20228020323"</f>
        <v>20228020323</v>
      </c>
      <c r="E278" s="5" t="str">
        <f t="shared" si="20"/>
        <v>20220303</v>
      </c>
      <c r="F278" s="6">
        <v>92.7</v>
      </c>
      <c r="G278" s="6">
        <v>95.3</v>
      </c>
      <c r="H278" s="6">
        <v>94.26</v>
      </c>
    </row>
    <row r="279" ht="20" customHeight="1" spans="1:8">
      <c r="A279" s="4">
        <v>277</v>
      </c>
      <c r="B279" s="5" t="str">
        <f>"徐新静"</f>
        <v>徐新静</v>
      </c>
      <c r="C279" s="5"/>
      <c r="D279" s="5" t="str">
        <f>"20228020208"</f>
        <v>20228020208</v>
      </c>
      <c r="E279" s="5" t="str">
        <f t="shared" si="20"/>
        <v>20220303</v>
      </c>
      <c r="F279" s="6">
        <v>104.6</v>
      </c>
      <c r="G279" s="6">
        <v>86.6</v>
      </c>
      <c r="H279" s="6">
        <v>93.8</v>
      </c>
    </row>
    <row r="280" ht="20" customHeight="1" spans="1:8">
      <c r="A280" s="4">
        <v>278</v>
      </c>
      <c r="B280" s="5" t="str">
        <f>"程方方"</f>
        <v>程方方</v>
      </c>
      <c r="C280" s="5"/>
      <c r="D280" s="5" t="str">
        <f>"20228020604"</f>
        <v>20228020604</v>
      </c>
      <c r="E280" s="5" t="str">
        <f t="shared" si="20"/>
        <v>20220303</v>
      </c>
      <c r="F280" s="6">
        <v>95.9</v>
      </c>
      <c r="G280" s="6">
        <v>92.2</v>
      </c>
      <c r="H280" s="6">
        <v>93.68</v>
      </c>
    </row>
    <row r="281" ht="20" customHeight="1" spans="1:8">
      <c r="A281" s="4">
        <v>279</v>
      </c>
      <c r="B281" s="5" t="str">
        <f>"张杨允"</f>
        <v>张杨允</v>
      </c>
      <c r="C281" s="5"/>
      <c r="D281" s="5" t="str">
        <f>"20228020227"</f>
        <v>20228020227</v>
      </c>
      <c r="E281" s="5" t="str">
        <f t="shared" si="20"/>
        <v>20220303</v>
      </c>
      <c r="F281" s="6">
        <v>96</v>
      </c>
      <c r="G281" s="6">
        <v>91.3</v>
      </c>
      <c r="H281" s="6">
        <v>93.18</v>
      </c>
    </row>
    <row r="282" ht="20" customHeight="1" spans="1:8">
      <c r="A282" s="4">
        <v>280</v>
      </c>
      <c r="B282" s="5" t="str">
        <f>"王雪丽"</f>
        <v>王雪丽</v>
      </c>
      <c r="C282" s="5"/>
      <c r="D282" s="5" t="str">
        <f>"20228020601"</f>
        <v>20228020601</v>
      </c>
      <c r="E282" s="5" t="str">
        <f t="shared" si="20"/>
        <v>20220303</v>
      </c>
      <c r="F282" s="6">
        <v>92.6</v>
      </c>
      <c r="G282" s="6">
        <v>93.5</v>
      </c>
      <c r="H282" s="6">
        <v>93.14</v>
      </c>
    </row>
    <row r="283" ht="20" customHeight="1" spans="1:8">
      <c r="A283" s="4">
        <v>281</v>
      </c>
      <c r="B283" s="5" t="str">
        <f>"于晓曼"</f>
        <v>于晓曼</v>
      </c>
      <c r="C283" s="5"/>
      <c r="D283" s="5" t="str">
        <f>"20228020130"</f>
        <v>20228020130</v>
      </c>
      <c r="E283" s="5" t="str">
        <f t="shared" si="20"/>
        <v>20220303</v>
      </c>
      <c r="F283" s="6">
        <v>97.9</v>
      </c>
      <c r="G283" s="6">
        <v>89.9</v>
      </c>
      <c r="H283" s="6">
        <v>93.1</v>
      </c>
    </row>
    <row r="284" ht="20" customHeight="1" spans="1:8">
      <c r="A284" s="4">
        <v>282</v>
      </c>
      <c r="B284" s="5" t="str">
        <f>"任青平"</f>
        <v>任青平</v>
      </c>
      <c r="C284" s="5"/>
      <c r="D284" s="5" t="str">
        <f>"20228020229"</f>
        <v>20228020229</v>
      </c>
      <c r="E284" s="5" t="str">
        <f t="shared" si="20"/>
        <v>20220303</v>
      </c>
      <c r="F284" s="6">
        <v>94.7</v>
      </c>
      <c r="G284" s="6">
        <v>91.8</v>
      </c>
      <c r="H284" s="6">
        <v>92.96</v>
      </c>
    </row>
    <row r="285" ht="20" customHeight="1" spans="1:8">
      <c r="A285" s="4">
        <v>283</v>
      </c>
      <c r="B285" s="5" t="str">
        <f>"柏奉伶"</f>
        <v>柏奉伶</v>
      </c>
      <c r="C285" s="5"/>
      <c r="D285" s="5" t="str">
        <f>"20228020311"</f>
        <v>20228020311</v>
      </c>
      <c r="E285" s="5" t="str">
        <f t="shared" si="20"/>
        <v>20220303</v>
      </c>
      <c r="F285" s="6">
        <v>90</v>
      </c>
      <c r="G285" s="6">
        <v>94.5</v>
      </c>
      <c r="H285" s="6">
        <v>92.7</v>
      </c>
    </row>
    <row r="286" ht="20" customHeight="1" spans="1:8">
      <c r="A286" s="4">
        <v>284</v>
      </c>
      <c r="B286" s="5" t="str">
        <f>"孙浩"</f>
        <v>孙浩</v>
      </c>
      <c r="C286" s="5"/>
      <c r="D286" s="5" t="str">
        <f>"20228020216"</f>
        <v>20228020216</v>
      </c>
      <c r="E286" s="5" t="str">
        <f t="shared" si="20"/>
        <v>20220303</v>
      </c>
      <c r="F286" s="6">
        <v>83.7</v>
      </c>
      <c r="G286" s="6">
        <v>98.2</v>
      </c>
      <c r="H286" s="6">
        <v>92.4</v>
      </c>
    </row>
    <row r="287" ht="20" customHeight="1" spans="1:8">
      <c r="A287" s="4">
        <v>285</v>
      </c>
      <c r="B287" s="5" t="str">
        <f>"李雪"</f>
        <v>李雪</v>
      </c>
      <c r="C287" s="5"/>
      <c r="D287" s="5" t="str">
        <f>"20228020119"</f>
        <v>20228020119</v>
      </c>
      <c r="E287" s="5" t="str">
        <f t="shared" si="20"/>
        <v>20220303</v>
      </c>
      <c r="F287" s="6">
        <v>97</v>
      </c>
      <c r="G287" s="6">
        <v>89.1</v>
      </c>
      <c r="H287" s="6">
        <v>92.26</v>
      </c>
    </row>
    <row r="288" ht="20" customHeight="1" spans="1:8">
      <c r="A288" s="4">
        <v>286</v>
      </c>
      <c r="B288" s="5" t="str">
        <f>"王岩磊"</f>
        <v>王岩磊</v>
      </c>
      <c r="C288" s="5"/>
      <c r="D288" s="5" t="str">
        <f>"20228020202"</f>
        <v>20228020202</v>
      </c>
      <c r="E288" s="5" t="str">
        <f t="shared" si="20"/>
        <v>20220303</v>
      </c>
      <c r="F288" s="6">
        <v>98.9</v>
      </c>
      <c r="G288" s="6">
        <v>87.6</v>
      </c>
      <c r="H288" s="6">
        <v>92.12</v>
      </c>
    </row>
    <row r="289" ht="20" customHeight="1" spans="1:8">
      <c r="A289" s="4">
        <v>287</v>
      </c>
      <c r="B289" s="5" t="str">
        <f>"郭洪颍"</f>
        <v>郭洪颍</v>
      </c>
      <c r="C289" s="5"/>
      <c r="D289" s="5" t="str">
        <f>"20228020501"</f>
        <v>20228020501</v>
      </c>
      <c r="E289" s="5" t="str">
        <f t="shared" si="20"/>
        <v>20220303</v>
      </c>
      <c r="F289" s="6">
        <v>102.8</v>
      </c>
      <c r="G289" s="6">
        <v>85</v>
      </c>
      <c r="H289" s="6">
        <v>92.12</v>
      </c>
    </row>
    <row r="290" ht="20" customHeight="1" spans="1:8">
      <c r="A290" s="4">
        <v>288</v>
      </c>
      <c r="B290" s="5" t="str">
        <f>"汪萍"</f>
        <v>汪萍</v>
      </c>
      <c r="C290" s="5"/>
      <c r="D290" s="5" t="str">
        <f>"20228020201"</f>
        <v>20228020201</v>
      </c>
      <c r="E290" s="5" t="str">
        <f t="shared" si="20"/>
        <v>20220303</v>
      </c>
      <c r="F290" s="6">
        <v>102.7</v>
      </c>
      <c r="G290" s="6">
        <v>85</v>
      </c>
      <c r="H290" s="6">
        <v>92.08</v>
      </c>
    </row>
    <row r="291" ht="20" customHeight="1" spans="1:8">
      <c r="A291" s="4">
        <v>289</v>
      </c>
      <c r="B291" s="5" t="str">
        <f>"赵震"</f>
        <v>赵震</v>
      </c>
      <c r="C291" s="5"/>
      <c r="D291" s="5" t="str">
        <f>"20228020611"</f>
        <v>20228020611</v>
      </c>
      <c r="E291" s="5" t="str">
        <f t="shared" si="20"/>
        <v>20220303</v>
      </c>
      <c r="F291" s="6">
        <v>89.7</v>
      </c>
      <c r="G291" s="6">
        <v>92.9</v>
      </c>
      <c r="H291" s="6">
        <v>91.62</v>
      </c>
    </row>
    <row r="292" ht="20" customHeight="1" spans="1:8">
      <c r="A292" s="4">
        <v>290</v>
      </c>
      <c r="B292" s="5" t="str">
        <f>"孙照明"</f>
        <v>孙照明</v>
      </c>
      <c r="C292" s="5"/>
      <c r="D292" s="5" t="str">
        <f>"20228020110"</f>
        <v>20228020110</v>
      </c>
      <c r="E292" s="5" t="str">
        <f t="shared" si="20"/>
        <v>20220303</v>
      </c>
      <c r="F292" s="6">
        <v>76</v>
      </c>
      <c r="G292" s="6">
        <v>101.8</v>
      </c>
      <c r="H292" s="6">
        <v>91.48</v>
      </c>
    </row>
    <row r="293" ht="20" customHeight="1" spans="1:8">
      <c r="A293" s="4">
        <v>291</v>
      </c>
      <c r="B293" s="5" t="str">
        <f>"樊亚南"</f>
        <v>樊亚南</v>
      </c>
      <c r="C293" s="5"/>
      <c r="D293" s="5" t="str">
        <f>"20228020316"</f>
        <v>20228020316</v>
      </c>
      <c r="E293" s="5" t="str">
        <f t="shared" si="20"/>
        <v>20220303</v>
      </c>
      <c r="F293" s="6">
        <v>98.4</v>
      </c>
      <c r="G293" s="6">
        <v>86.5</v>
      </c>
      <c r="H293" s="6">
        <v>91.26</v>
      </c>
    </row>
    <row r="294" ht="20" customHeight="1" spans="1:8">
      <c r="A294" s="4">
        <v>292</v>
      </c>
      <c r="B294" s="5" t="str">
        <f>"王利"</f>
        <v>王利</v>
      </c>
      <c r="C294" s="5"/>
      <c r="D294" s="5" t="str">
        <f>"20228020615"</f>
        <v>20228020615</v>
      </c>
      <c r="E294" s="5" t="str">
        <f t="shared" si="20"/>
        <v>20220303</v>
      </c>
      <c r="F294" s="6">
        <v>89.7</v>
      </c>
      <c r="G294" s="6">
        <v>91.8</v>
      </c>
      <c r="H294" s="6">
        <v>90.96</v>
      </c>
    </row>
    <row r="295" ht="20" customHeight="1" spans="1:8">
      <c r="A295" s="4">
        <v>293</v>
      </c>
      <c r="B295" s="5" t="str">
        <f>"鹿周"</f>
        <v>鹿周</v>
      </c>
      <c r="C295" s="5"/>
      <c r="D295" s="5" t="str">
        <f>"20228020109"</f>
        <v>20228020109</v>
      </c>
      <c r="E295" s="5" t="str">
        <f t="shared" si="20"/>
        <v>20220303</v>
      </c>
      <c r="F295" s="6">
        <v>95.3</v>
      </c>
      <c r="G295" s="6">
        <v>87.9</v>
      </c>
      <c r="H295" s="6">
        <v>90.86</v>
      </c>
    </row>
    <row r="296" ht="20" customHeight="1" spans="1:8">
      <c r="A296" s="4">
        <v>294</v>
      </c>
      <c r="B296" s="5" t="str">
        <f>"苏国兵"</f>
        <v>苏国兵</v>
      </c>
      <c r="C296" s="5"/>
      <c r="D296" s="5" t="str">
        <f>"20228020616"</f>
        <v>20228020616</v>
      </c>
      <c r="E296" s="5" t="str">
        <f t="shared" si="20"/>
        <v>20220303</v>
      </c>
      <c r="F296" s="6">
        <v>88.5</v>
      </c>
      <c r="G296" s="6">
        <v>92.3</v>
      </c>
      <c r="H296" s="6">
        <v>90.78</v>
      </c>
    </row>
    <row r="297" ht="20" customHeight="1" spans="1:8">
      <c r="A297" s="4">
        <v>295</v>
      </c>
      <c r="B297" s="5" t="str">
        <f>"闫梦雪"</f>
        <v>闫梦雪</v>
      </c>
      <c r="C297" s="5"/>
      <c r="D297" s="5" t="str">
        <f>"20228013515"</f>
        <v>20228013515</v>
      </c>
      <c r="E297" s="5" t="str">
        <f t="shared" ref="E297:E360" si="21">"20220304"</f>
        <v>20220304</v>
      </c>
      <c r="F297" s="6">
        <v>103.1</v>
      </c>
      <c r="G297" s="6">
        <v>104.8</v>
      </c>
      <c r="H297" s="6">
        <v>104.12</v>
      </c>
    </row>
    <row r="298" ht="20" customHeight="1" spans="1:8">
      <c r="A298" s="4">
        <v>296</v>
      </c>
      <c r="B298" s="5" t="str">
        <f>"孙月婷"</f>
        <v>孙月婷</v>
      </c>
      <c r="C298" s="5"/>
      <c r="D298" s="5" t="str">
        <f>"20228013815"</f>
        <v>20228013815</v>
      </c>
      <c r="E298" s="5" t="str">
        <f t="shared" si="21"/>
        <v>20220304</v>
      </c>
      <c r="F298" s="6">
        <v>99.3</v>
      </c>
      <c r="G298" s="6">
        <v>106.3</v>
      </c>
      <c r="H298" s="6">
        <v>103.5</v>
      </c>
    </row>
    <row r="299" ht="20" customHeight="1" spans="1:8">
      <c r="A299" s="4">
        <v>297</v>
      </c>
      <c r="B299" s="5" t="str">
        <f>"李玉"</f>
        <v>李玉</v>
      </c>
      <c r="C299" s="5"/>
      <c r="D299" s="5" t="str">
        <f>"20228013620"</f>
        <v>20228013620</v>
      </c>
      <c r="E299" s="5" t="str">
        <f t="shared" si="21"/>
        <v>20220304</v>
      </c>
      <c r="F299" s="6">
        <v>104.2</v>
      </c>
      <c r="G299" s="6">
        <v>102.4</v>
      </c>
      <c r="H299" s="6">
        <v>103.12</v>
      </c>
    </row>
    <row r="300" ht="20" customHeight="1" spans="1:8">
      <c r="A300" s="4">
        <v>298</v>
      </c>
      <c r="B300" s="5" t="str">
        <f>"王会会"</f>
        <v>王会会</v>
      </c>
      <c r="C300" s="5"/>
      <c r="D300" s="5" t="str">
        <f>"20228013613"</f>
        <v>20228013613</v>
      </c>
      <c r="E300" s="5" t="str">
        <f t="shared" si="21"/>
        <v>20220304</v>
      </c>
      <c r="F300" s="6">
        <v>105.5</v>
      </c>
      <c r="G300" s="6">
        <v>99.4</v>
      </c>
      <c r="H300" s="6">
        <v>101.84</v>
      </c>
    </row>
    <row r="301" ht="20" customHeight="1" spans="1:8">
      <c r="A301" s="4">
        <v>299</v>
      </c>
      <c r="B301" s="5" t="str">
        <f>"武孟雨"</f>
        <v>武孟雨</v>
      </c>
      <c r="C301" s="5"/>
      <c r="D301" s="5" t="str">
        <f>"20228014025"</f>
        <v>20228014025</v>
      </c>
      <c r="E301" s="5" t="str">
        <f t="shared" si="21"/>
        <v>20220304</v>
      </c>
      <c r="F301" s="6">
        <v>102.9</v>
      </c>
      <c r="G301" s="6">
        <v>100.2</v>
      </c>
      <c r="H301" s="6">
        <v>101.28</v>
      </c>
    </row>
    <row r="302" ht="20" customHeight="1" spans="1:8">
      <c r="A302" s="4">
        <v>300</v>
      </c>
      <c r="B302" s="5" t="str">
        <f>"姜允芬"</f>
        <v>姜允芬</v>
      </c>
      <c r="C302" s="5"/>
      <c r="D302" s="5" t="str">
        <f>"20228013630"</f>
        <v>20228013630</v>
      </c>
      <c r="E302" s="5" t="str">
        <f t="shared" si="21"/>
        <v>20220304</v>
      </c>
      <c r="F302" s="6">
        <v>102.4</v>
      </c>
      <c r="G302" s="6">
        <v>99.9</v>
      </c>
      <c r="H302" s="6">
        <v>100.9</v>
      </c>
    </row>
    <row r="303" ht="20" customHeight="1" spans="1:8">
      <c r="A303" s="4">
        <v>301</v>
      </c>
      <c r="B303" s="5" t="str">
        <f>"张会"</f>
        <v>张会</v>
      </c>
      <c r="C303" s="5"/>
      <c r="D303" s="5" t="str">
        <f>"20228014125"</f>
        <v>20228014125</v>
      </c>
      <c r="E303" s="5" t="str">
        <f t="shared" si="21"/>
        <v>20220304</v>
      </c>
      <c r="F303" s="6">
        <v>100.8</v>
      </c>
      <c r="G303" s="6">
        <v>99.5</v>
      </c>
      <c r="H303" s="6">
        <v>100.02</v>
      </c>
    </row>
    <row r="304" ht="20" customHeight="1" spans="1:8">
      <c r="A304" s="4">
        <v>302</v>
      </c>
      <c r="B304" s="5" t="str">
        <f>"吕濛"</f>
        <v>吕濛</v>
      </c>
      <c r="C304" s="5"/>
      <c r="D304" s="5" t="str">
        <f>"20228013514"</f>
        <v>20228013514</v>
      </c>
      <c r="E304" s="5" t="str">
        <f t="shared" si="21"/>
        <v>20220304</v>
      </c>
      <c r="F304" s="6">
        <v>101.9</v>
      </c>
      <c r="G304" s="6">
        <v>98.1</v>
      </c>
      <c r="H304" s="6">
        <v>99.62</v>
      </c>
    </row>
    <row r="305" ht="20" customHeight="1" spans="1:8">
      <c r="A305" s="4">
        <v>303</v>
      </c>
      <c r="B305" s="5" t="str">
        <f>"陈佳"</f>
        <v>陈佳</v>
      </c>
      <c r="C305" s="5"/>
      <c r="D305" s="5" t="str">
        <f>"20228013822"</f>
        <v>20228013822</v>
      </c>
      <c r="E305" s="5" t="str">
        <f t="shared" si="21"/>
        <v>20220304</v>
      </c>
      <c r="F305" s="6">
        <v>107</v>
      </c>
      <c r="G305" s="6">
        <v>93.3</v>
      </c>
      <c r="H305" s="6">
        <v>98.78</v>
      </c>
    </row>
    <row r="306" ht="20" customHeight="1" spans="1:8">
      <c r="A306" s="4">
        <v>304</v>
      </c>
      <c r="B306" s="5" t="str">
        <f>"侯莉婧"</f>
        <v>侯莉婧</v>
      </c>
      <c r="C306" s="5"/>
      <c r="D306" s="5" t="str">
        <f>"20228013530"</f>
        <v>20228013530</v>
      </c>
      <c r="E306" s="5" t="str">
        <f t="shared" si="21"/>
        <v>20220304</v>
      </c>
      <c r="F306" s="6">
        <v>97.4</v>
      </c>
      <c r="G306" s="6">
        <v>98.5</v>
      </c>
      <c r="H306" s="6">
        <v>98.06</v>
      </c>
    </row>
    <row r="307" ht="20" customHeight="1" spans="1:8">
      <c r="A307" s="4">
        <v>305</v>
      </c>
      <c r="B307" s="5" t="str">
        <f>"王洪星"</f>
        <v>王洪星</v>
      </c>
      <c r="C307" s="5"/>
      <c r="D307" s="5" t="str">
        <f>"20228013411"</f>
        <v>20228013411</v>
      </c>
      <c r="E307" s="5" t="str">
        <f t="shared" si="21"/>
        <v>20220304</v>
      </c>
      <c r="F307" s="6">
        <v>94.1</v>
      </c>
      <c r="G307" s="6">
        <v>100.5</v>
      </c>
      <c r="H307" s="6">
        <v>97.94</v>
      </c>
    </row>
    <row r="308" ht="20" customHeight="1" spans="1:8">
      <c r="A308" s="4">
        <v>306</v>
      </c>
      <c r="B308" s="5" t="str">
        <f>"朱玉"</f>
        <v>朱玉</v>
      </c>
      <c r="C308" s="5"/>
      <c r="D308" s="5" t="str">
        <f>"20228013707"</f>
        <v>20228013707</v>
      </c>
      <c r="E308" s="5" t="str">
        <f t="shared" si="21"/>
        <v>20220304</v>
      </c>
      <c r="F308" s="6">
        <v>101.3</v>
      </c>
      <c r="G308" s="6">
        <v>95.4</v>
      </c>
      <c r="H308" s="6">
        <v>97.76</v>
      </c>
    </row>
    <row r="309" ht="20" customHeight="1" spans="1:8">
      <c r="A309" s="4">
        <v>307</v>
      </c>
      <c r="B309" s="5" t="str">
        <f>"刘宇"</f>
        <v>刘宇</v>
      </c>
      <c r="C309" s="5"/>
      <c r="D309" s="5" t="str">
        <f>"20228013509"</f>
        <v>20228013509</v>
      </c>
      <c r="E309" s="5" t="str">
        <f t="shared" si="21"/>
        <v>20220304</v>
      </c>
      <c r="F309" s="6">
        <v>105.7</v>
      </c>
      <c r="G309" s="6">
        <v>92</v>
      </c>
      <c r="H309" s="6">
        <v>97.48</v>
      </c>
    </row>
    <row r="310" ht="20" customHeight="1" spans="1:8">
      <c r="A310" s="4">
        <v>308</v>
      </c>
      <c r="B310" s="5" t="str">
        <f>"文小辉"</f>
        <v>文小辉</v>
      </c>
      <c r="C310" s="5"/>
      <c r="D310" s="5" t="str">
        <f>"20228013913"</f>
        <v>20228013913</v>
      </c>
      <c r="E310" s="5" t="str">
        <f t="shared" si="21"/>
        <v>20220304</v>
      </c>
      <c r="F310" s="6">
        <v>94.8</v>
      </c>
      <c r="G310" s="6">
        <v>99</v>
      </c>
      <c r="H310" s="6">
        <v>97.32</v>
      </c>
    </row>
    <row r="311" ht="20" customHeight="1" spans="1:8">
      <c r="A311" s="4">
        <v>309</v>
      </c>
      <c r="B311" s="5" t="str">
        <f>"徐俊"</f>
        <v>徐俊</v>
      </c>
      <c r="C311" s="5"/>
      <c r="D311" s="5" t="str">
        <f>"20228014201"</f>
        <v>20228014201</v>
      </c>
      <c r="E311" s="5" t="str">
        <f t="shared" si="21"/>
        <v>20220304</v>
      </c>
      <c r="F311" s="6">
        <v>99.1</v>
      </c>
      <c r="G311" s="6">
        <v>95.7</v>
      </c>
      <c r="H311" s="6">
        <v>97.06</v>
      </c>
    </row>
    <row r="312" ht="20" customHeight="1" spans="1:8">
      <c r="A312" s="4">
        <v>310</v>
      </c>
      <c r="B312" s="5" t="str">
        <f>"杨月"</f>
        <v>杨月</v>
      </c>
      <c r="C312" s="5"/>
      <c r="D312" s="5" t="str">
        <f>"20228014116"</f>
        <v>20228014116</v>
      </c>
      <c r="E312" s="5" t="str">
        <f t="shared" si="21"/>
        <v>20220304</v>
      </c>
      <c r="F312" s="6">
        <v>97.6</v>
      </c>
      <c r="G312" s="6">
        <v>95</v>
      </c>
      <c r="H312" s="6">
        <v>96.04</v>
      </c>
    </row>
    <row r="313" ht="20" customHeight="1" spans="1:8">
      <c r="A313" s="4">
        <v>311</v>
      </c>
      <c r="B313" s="5" t="str">
        <f>"赵媛媛"</f>
        <v>赵媛媛</v>
      </c>
      <c r="C313" s="5"/>
      <c r="D313" s="5" t="str">
        <f>"20228013703"</f>
        <v>20228013703</v>
      </c>
      <c r="E313" s="5" t="str">
        <f t="shared" si="21"/>
        <v>20220304</v>
      </c>
      <c r="F313" s="6">
        <v>102.2</v>
      </c>
      <c r="G313" s="6">
        <v>91.8</v>
      </c>
      <c r="H313" s="6">
        <v>95.96</v>
      </c>
    </row>
    <row r="314" ht="20" customHeight="1" spans="1:8">
      <c r="A314" s="4">
        <v>312</v>
      </c>
      <c r="B314" s="5" t="str">
        <f>"仲柳"</f>
        <v>仲柳</v>
      </c>
      <c r="C314" s="5"/>
      <c r="D314" s="5" t="str">
        <f>"20228014212"</f>
        <v>20228014212</v>
      </c>
      <c r="E314" s="5" t="str">
        <f t="shared" si="21"/>
        <v>20220304</v>
      </c>
      <c r="F314" s="6">
        <v>101</v>
      </c>
      <c r="G314" s="6">
        <v>92.6</v>
      </c>
      <c r="H314" s="6">
        <v>95.96</v>
      </c>
    </row>
    <row r="315" ht="20" customHeight="1" spans="1:8">
      <c r="A315" s="4">
        <v>313</v>
      </c>
      <c r="B315" s="5" t="str">
        <f>"闫少峰"</f>
        <v>闫少峰</v>
      </c>
      <c r="C315" s="5"/>
      <c r="D315" s="5" t="str">
        <f>"20228020826"</f>
        <v>20228020826</v>
      </c>
      <c r="E315" s="5" t="str">
        <f t="shared" ref="E315:E378" si="22">"20220305"</f>
        <v>20220305</v>
      </c>
      <c r="F315" s="6">
        <v>96.2</v>
      </c>
      <c r="G315" s="6">
        <v>103.7</v>
      </c>
      <c r="H315" s="6">
        <v>100.7</v>
      </c>
    </row>
    <row r="316" ht="20" customHeight="1" spans="1:8">
      <c r="A316" s="4">
        <v>314</v>
      </c>
      <c r="B316" s="5" t="str">
        <f>"孙晓奇"</f>
        <v>孙晓奇</v>
      </c>
      <c r="C316" s="5"/>
      <c r="D316" s="5" t="str">
        <f>"20228020813"</f>
        <v>20228020813</v>
      </c>
      <c r="E316" s="5" t="str">
        <f t="shared" si="22"/>
        <v>20220305</v>
      </c>
      <c r="F316" s="6">
        <v>94.2</v>
      </c>
      <c r="G316" s="6">
        <v>104</v>
      </c>
      <c r="H316" s="6">
        <v>100.08</v>
      </c>
    </row>
    <row r="317" ht="20" customHeight="1" spans="1:8">
      <c r="A317" s="4">
        <v>315</v>
      </c>
      <c r="B317" s="5" t="str">
        <f>"贾婉茹"</f>
        <v>贾婉茹</v>
      </c>
      <c r="C317" s="5"/>
      <c r="D317" s="5" t="str">
        <f>"20228020722"</f>
        <v>20228020722</v>
      </c>
      <c r="E317" s="5" t="str">
        <f t="shared" si="22"/>
        <v>20220305</v>
      </c>
      <c r="F317" s="6">
        <v>93.3</v>
      </c>
      <c r="G317" s="6">
        <v>100.8</v>
      </c>
      <c r="H317" s="6">
        <v>97.8</v>
      </c>
    </row>
    <row r="318" ht="20" customHeight="1" spans="1:8">
      <c r="A318" s="4">
        <v>316</v>
      </c>
      <c r="B318" s="5" t="str">
        <f>"邓玲"</f>
        <v>邓玲</v>
      </c>
      <c r="C318" s="5"/>
      <c r="D318" s="5" t="str">
        <f>"20228020906"</f>
        <v>20228020906</v>
      </c>
      <c r="E318" s="5" t="str">
        <f t="shared" si="22"/>
        <v>20220305</v>
      </c>
      <c r="F318" s="6">
        <v>97.3</v>
      </c>
      <c r="G318" s="6">
        <v>97.8</v>
      </c>
      <c r="H318" s="6">
        <v>97.6</v>
      </c>
    </row>
    <row r="319" ht="20" customHeight="1" spans="1:8">
      <c r="A319" s="4">
        <v>317</v>
      </c>
      <c r="B319" s="5" t="str">
        <f>"胡健"</f>
        <v>胡健</v>
      </c>
      <c r="C319" s="5"/>
      <c r="D319" s="5" t="str">
        <f>"20228020723"</f>
        <v>20228020723</v>
      </c>
      <c r="E319" s="5" t="str">
        <f t="shared" si="22"/>
        <v>20220305</v>
      </c>
      <c r="F319" s="6">
        <v>90.3</v>
      </c>
      <c r="G319" s="6">
        <v>102.3</v>
      </c>
      <c r="H319" s="6">
        <v>97.5</v>
      </c>
    </row>
    <row r="320" ht="20" customHeight="1" spans="1:8">
      <c r="A320" s="4">
        <v>318</v>
      </c>
      <c r="B320" s="5" t="str">
        <f>"何曦璇"</f>
        <v>何曦璇</v>
      </c>
      <c r="C320" s="5"/>
      <c r="D320" s="5" t="str">
        <f>"20228020910"</f>
        <v>20228020910</v>
      </c>
      <c r="E320" s="5" t="str">
        <f t="shared" si="22"/>
        <v>20220305</v>
      </c>
      <c r="F320" s="6">
        <v>91.3</v>
      </c>
      <c r="G320" s="6">
        <v>100.5</v>
      </c>
      <c r="H320" s="6">
        <v>96.82</v>
      </c>
    </row>
    <row r="321" ht="20" customHeight="1" spans="1:8">
      <c r="A321" s="4">
        <v>319</v>
      </c>
      <c r="B321" s="5" t="str">
        <f>"袁圆圆"</f>
        <v>袁圆圆</v>
      </c>
      <c r="C321" s="5"/>
      <c r="D321" s="5" t="str">
        <f>"20228020707"</f>
        <v>20228020707</v>
      </c>
      <c r="E321" s="5" t="str">
        <f t="shared" si="22"/>
        <v>20220305</v>
      </c>
      <c r="F321" s="6">
        <v>95.9</v>
      </c>
      <c r="G321" s="6">
        <v>97.3</v>
      </c>
      <c r="H321" s="6">
        <v>96.74</v>
      </c>
    </row>
    <row r="322" ht="20" customHeight="1" spans="1:8">
      <c r="A322" s="4">
        <v>320</v>
      </c>
      <c r="B322" s="5" t="str">
        <f>"孟小雨"</f>
        <v>孟小雨</v>
      </c>
      <c r="C322" s="5"/>
      <c r="D322" s="5" t="str">
        <f>"20228020914"</f>
        <v>20228020914</v>
      </c>
      <c r="E322" s="5" t="str">
        <f t="shared" si="22"/>
        <v>20220305</v>
      </c>
      <c r="F322" s="6">
        <v>88.9</v>
      </c>
      <c r="G322" s="6">
        <v>100.7</v>
      </c>
      <c r="H322" s="6">
        <v>95.98</v>
      </c>
    </row>
    <row r="323" ht="20" customHeight="1" spans="1:8">
      <c r="A323" s="4">
        <v>321</v>
      </c>
      <c r="B323" s="5" t="str">
        <f>"李腾辉"</f>
        <v>李腾辉</v>
      </c>
      <c r="C323" s="5"/>
      <c r="D323" s="5" t="str">
        <f>"20228020725"</f>
        <v>20228020725</v>
      </c>
      <c r="E323" s="5" t="str">
        <f t="shared" si="22"/>
        <v>20220305</v>
      </c>
      <c r="F323" s="6">
        <v>88.9</v>
      </c>
      <c r="G323" s="6">
        <v>100.1</v>
      </c>
      <c r="H323" s="6">
        <v>95.62</v>
      </c>
    </row>
    <row r="324" ht="20" customHeight="1" spans="1:8">
      <c r="A324" s="4">
        <v>322</v>
      </c>
      <c r="B324" s="5" t="str">
        <f>"张振业"</f>
        <v>张振业</v>
      </c>
      <c r="C324" s="5"/>
      <c r="D324" s="5" t="str">
        <f>"20228020918"</f>
        <v>20228020918</v>
      </c>
      <c r="E324" s="5" t="str">
        <f t="shared" si="22"/>
        <v>20220305</v>
      </c>
      <c r="F324" s="6">
        <v>89.5</v>
      </c>
      <c r="G324" s="6">
        <v>98.1</v>
      </c>
      <c r="H324" s="6">
        <v>94.66</v>
      </c>
    </row>
    <row r="325" ht="20" customHeight="1" spans="1:8">
      <c r="A325" s="4">
        <v>323</v>
      </c>
      <c r="B325" s="5" t="str">
        <f>"赵敏杰"</f>
        <v>赵敏杰</v>
      </c>
      <c r="C325" s="5"/>
      <c r="D325" s="5" t="str">
        <f>"20228020907"</f>
        <v>20228020907</v>
      </c>
      <c r="E325" s="5" t="str">
        <f t="shared" si="22"/>
        <v>20220305</v>
      </c>
      <c r="F325" s="6">
        <v>86.7</v>
      </c>
      <c r="G325" s="6">
        <v>98.1</v>
      </c>
      <c r="H325" s="6">
        <v>93.54</v>
      </c>
    </row>
    <row r="326" ht="20" customHeight="1" spans="1:8">
      <c r="A326" s="4">
        <v>324</v>
      </c>
      <c r="B326" s="5" t="str">
        <f>"程梦蝶"</f>
        <v>程梦蝶</v>
      </c>
      <c r="C326" s="5"/>
      <c r="D326" s="5" t="str">
        <f>"20228020715"</f>
        <v>20228020715</v>
      </c>
      <c r="E326" s="5" t="str">
        <f t="shared" si="22"/>
        <v>20220305</v>
      </c>
      <c r="F326" s="6">
        <v>90.1</v>
      </c>
      <c r="G326" s="6">
        <v>94.4</v>
      </c>
      <c r="H326" s="6">
        <v>92.68</v>
      </c>
    </row>
    <row r="327" ht="20" customHeight="1" spans="1:8">
      <c r="A327" s="4">
        <v>325</v>
      </c>
      <c r="B327" s="5" t="str">
        <f>"韩晓博"</f>
        <v>韩晓博</v>
      </c>
      <c r="C327" s="5"/>
      <c r="D327" s="5" t="str">
        <f>"20228021001"</f>
        <v>20228021001</v>
      </c>
      <c r="E327" s="5" t="str">
        <f t="shared" ref="E327:E340" si="23">"20220306"</f>
        <v>20220306</v>
      </c>
      <c r="F327" s="6">
        <v>99.8</v>
      </c>
      <c r="G327" s="6">
        <v>101.7</v>
      </c>
      <c r="H327" s="6">
        <v>100.94</v>
      </c>
    </row>
    <row r="328" ht="20" customHeight="1" spans="1:8">
      <c r="A328" s="4">
        <v>326</v>
      </c>
      <c r="B328" s="5" t="str">
        <f>"陆道宝"</f>
        <v>陆道宝</v>
      </c>
      <c r="C328" s="5"/>
      <c r="D328" s="5" t="str">
        <f>"20228021202"</f>
        <v>20228021202</v>
      </c>
      <c r="E328" s="5" t="str">
        <f t="shared" si="23"/>
        <v>20220306</v>
      </c>
      <c r="F328" s="6">
        <v>99.7</v>
      </c>
      <c r="G328" s="6">
        <v>100.6</v>
      </c>
      <c r="H328" s="6">
        <v>100.24</v>
      </c>
    </row>
    <row r="329" ht="20" customHeight="1" spans="1:8">
      <c r="A329" s="4">
        <v>327</v>
      </c>
      <c r="B329" s="5" t="str">
        <f>"杨治国"</f>
        <v>杨治国</v>
      </c>
      <c r="C329" s="5"/>
      <c r="D329" s="5" t="str">
        <f>"20228021122"</f>
        <v>20228021122</v>
      </c>
      <c r="E329" s="5" t="str">
        <f t="shared" si="23"/>
        <v>20220306</v>
      </c>
      <c r="F329" s="6">
        <v>97.8</v>
      </c>
      <c r="G329" s="6">
        <v>100.1</v>
      </c>
      <c r="H329" s="6">
        <v>99.18</v>
      </c>
    </row>
    <row r="330" ht="20" customHeight="1" spans="1:8">
      <c r="A330" s="4">
        <v>328</v>
      </c>
      <c r="B330" s="5" t="str">
        <f>"栾则志"</f>
        <v>栾则志</v>
      </c>
      <c r="C330" s="5"/>
      <c r="D330" s="5" t="str">
        <f>"20228021027"</f>
        <v>20228021027</v>
      </c>
      <c r="E330" s="5" t="str">
        <f t="shared" si="23"/>
        <v>20220306</v>
      </c>
      <c r="F330" s="6">
        <v>91.8</v>
      </c>
      <c r="G330" s="6">
        <v>100.2</v>
      </c>
      <c r="H330" s="6">
        <v>96.84</v>
      </c>
    </row>
    <row r="331" ht="20" customHeight="1" spans="1:8">
      <c r="A331" s="4">
        <v>329</v>
      </c>
      <c r="B331" s="5" t="str">
        <f>"刘粉"</f>
        <v>刘粉</v>
      </c>
      <c r="C331" s="5"/>
      <c r="D331" s="5" t="str">
        <f>"20228020926"</f>
        <v>20228020926</v>
      </c>
      <c r="E331" s="5" t="str">
        <f t="shared" si="23"/>
        <v>20220306</v>
      </c>
      <c r="F331" s="6">
        <v>99.2</v>
      </c>
      <c r="G331" s="6">
        <v>93.1</v>
      </c>
      <c r="H331" s="6">
        <v>95.54</v>
      </c>
    </row>
    <row r="332" ht="20" customHeight="1" spans="1:8">
      <c r="A332" s="4">
        <v>330</v>
      </c>
      <c r="B332" s="5" t="str">
        <f>"马志伟"</f>
        <v>马志伟</v>
      </c>
      <c r="C332" s="5"/>
      <c r="D332" s="5" t="str">
        <f>"20228021103"</f>
        <v>20228021103</v>
      </c>
      <c r="E332" s="5" t="str">
        <f t="shared" si="23"/>
        <v>20220306</v>
      </c>
      <c r="F332" s="6">
        <v>95.8</v>
      </c>
      <c r="G332" s="6">
        <v>94.1</v>
      </c>
      <c r="H332" s="6">
        <v>94.78</v>
      </c>
    </row>
    <row r="333" ht="20" customHeight="1" spans="1:8">
      <c r="A333" s="4">
        <v>331</v>
      </c>
      <c r="B333" s="5" t="str">
        <f>"胡虎森"</f>
        <v>胡虎森</v>
      </c>
      <c r="C333" s="5"/>
      <c r="D333" s="5" t="str">
        <f>"20228020922"</f>
        <v>20228020922</v>
      </c>
      <c r="E333" s="5" t="str">
        <f t="shared" si="23"/>
        <v>20220306</v>
      </c>
      <c r="F333" s="6">
        <v>85.3</v>
      </c>
      <c r="G333" s="6">
        <v>99.1</v>
      </c>
      <c r="H333" s="6">
        <v>93.58</v>
      </c>
    </row>
    <row r="334" ht="20" customHeight="1" spans="1:8">
      <c r="A334" s="4">
        <v>332</v>
      </c>
      <c r="B334" s="5" t="str">
        <f>"王晓丹"</f>
        <v>王晓丹</v>
      </c>
      <c r="C334" s="5"/>
      <c r="D334" s="5" t="str">
        <f>"20228021006"</f>
        <v>20228021006</v>
      </c>
      <c r="E334" s="5" t="str">
        <f t="shared" si="23"/>
        <v>20220306</v>
      </c>
      <c r="F334" s="6">
        <v>88.9</v>
      </c>
      <c r="G334" s="6">
        <v>95.2</v>
      </c>
      <c r="H334" s="6">
        <v>92.68</v>
      </c>
    </row>
    <row r="335" ht="20" customHeight="1" spans="1:8">
      <c r="A335" s="4">
        <v>333</v>
      </c>
      <c r="B335" s="5" t="str">
        <f>"张鹏"</f>
        <v>张鹏</v>
      </c>
      <c r="C335" s="5"/>
      <c r="D335" s="5" t="str">
        <f>"20228021115"</f>
        <v>20228021115</v>
      </c>
      <c r="E335" s="5" t="str">
        <f t="shared" si="23"/>
        <v>20220306</v>
      </c>
      <c r="F335" s="6">
        <v>89.3</v>
      </c>
      <c r="G335" s="6">
        <v>94.5</v>
      </c>
      <c r="H335" s="6">
        <v>92.42</v>
      </c>
    </row>
    <row r="336" ht="20" customHeight="1" spans="1:8">
      <c r="A336" s="4">
        <v>334</v>
      </c>
      <c r="B336" s="5" t="str">
        <f>"申影"</f>
        <v>申影</v>
      </c>
      <c r="C336" s="5"/>
      <c r="D336" s="5" t="str">
        <f>"20228021009"</f>
        <v>20228021009</v>
      </c>
      <c r="E336" s="5" t="str">
        <f t="shared" si="23"/>
        <v>20220306</v>
      </c>
      <c r="F336" s="6">
        <v>94.2</v>
      </c>
      <c r="G336" s="6">
        <v>91</v>
      </c>
      <c r="H336" s="6">
        <v>92.28</v>
      </c>
    </row>
    <row r="337" ht="20" customHeight="1" spans="1:8">
      <c r="A337" s="4">
        <v>335</v>
      </c>
      <c r="B337" s="5" t="str">
        <f>"马婷婷"</f>
        <v>马婷婷</v>
      </c>
      <c r="C337" s="5"/>
      <c r="D337" s="5" t="str">
        <f>"20228021126"</f>
        <v>20228021126</v>
      </c>
      <c r="E337" s="5" t="str">
        <f t="shared" si="23"/>
        <v>20220306</v>
      </c>
      <c r="F337" s="6">
        <v>87.8</v>
      </c>
      <c r="G337" s="6">
        <v>94.5</v>
      </c>
      <c r="H337" s="6">
        <v>91.82</v>
      </c>
    </row>
    <row r="338" ht="20" customHeight="1" spans="1:8">
      <c r="A338" s="4">
        <v>336</v>
      </c>
      <c r="B338" s="5" t="str">
        <f>"张龙"</f>
        <v>张龙</v>
      </c>
      <c r="C338" s="5"/>
      <c r="D338" s="5" t="str">
        <f>"20228021109"</f>
        <v>20228021109</v>
      </c>
      <c r="E338" s="5" t="str">
        <f t="shared" si="23"/>
        <v>20220306</v>
      </c>
      <c r="F338" s="6">
        <v>88.4</v>
      </c>
      <c r="G338" s="6">
        <v>93.4</v>
      </c>
      <c r="H338" s="6">
        <v>91.4</v>
      </c>
    </row>
    <row r="339" ht="20" customHeight="1" spans="1:8">
      <c r="A339" s="4">
        <v>337</v>
      </c>
      <c r="B339" s="5" t="str">
        <f>"王米雪"</f>
        <v>王米雪</v>
      </c>
      <c r="C339" s="5"/>
      <c r="D339" s="5" t="str">
        <f>"20228021025"</f>
        <v>20228021025</v>
      </c>
      <c r="E339" s="5" t="str">
        <f t="shared" si="23"/>
        <v>20220306</v>
      </c>
      <c r="F339" s="6">
        <v>90.9</v>
      </c>
      <c r="G339" s="6">
        <v>91.4</v>
      </c>
      <c r="H339" s="6">
        <v>91.2</v>
      </c>
    </row>
    <row r="340" ht="20" customHeight="1" spans="1:8">
      <c r="A340" s="4">
        <v>338</v>
      </c>
      <c r="B340" s="5" t="str">
        <f>"王青春"</f>
        <v>王青春</v>
      </c>
      <c r="C340" s="5"/>
      <c r="D340" s="5" t="str">
        <f>"20228021112"</f>
        <v>20228021112</v>
      </c>
      <c r="E340" s="5" t="str">
        <f t="shared" si="23"/>
        <v>20220306</v>
      </c>
      <c r="F340" s="6">
        <v>93</v>
      </c>
      <c r="G340" s="6">
        <v>90</v>
      </c>
      <c r="H340" s="6">
        <v>91.2</v>
      </c>
    </row>
    <row r="341" ht="20" customHeight="1" spans="1:8">
      <c r="A341" s="4">
        <v>339</v>
      </c>
      <c r="B341" s="5" t="str">
        <f>"佟尚璐"</f>
        <v>佟尚璐</v>
      </c>
      <c r="C341" s="5"/>
      <c r="D341" s="5" t="str">
        <f>"20228021720"</f>
        <v>20228021720</v>
      </c>
      <c r="E341" s="5" t="str">
        <f t="shared" ref="E341:E346" si="24">"20220307"</f>
        <v>20220307</v>
      </c>
      <c r="F341" s="6">
        <v>105</v>
      </c>
      <c r="G341" s="6">
        <v>107.2</v>
      </c>
      <c r="H341" s="6">
        <v>106.32</v>
      </c>
    </row>
    <row r="342" ht="20" customHeight="1" spans="1:8">
      <c r="A342" s="4">
        <v>340</v>
      </c>
      <c r="B342" s="5" t="str">
        <f>"吴琼"</f>
        <v>吴琼</v>
      </c>
      <c r="C342" s="5"/>
      <c r="D342" s="5" t="str">
        <f>"20228021413"</f>
        <v>20228021413</v>
      </c>
      <c r="E342" s="5" t="str">
        <f t="shared" si="24"/>
        <v>20220307</v>
      </c>
      <c r="F342" s="6">
        <v>107.9</v>
      </c>
      <c r="G342" s="6">
        <v>103.4</v>
      </c>
      <c r="H342" s="6">
        <v>105.2</v>
      </c>
    </row>
    <row r="343" ht="20" customHeight="1" spans="1:8">
      <c r="A343" s="4">
        <v>341</v>
      </c>
      <c r="B343" s="5" t="str">
        <f>"纪跃男"</f>
        <v>纪跃男</v>
      </c>
      <c r="C343" s="5"/>
      <c r="D343" s="5" t="str">
        <f>"20228021206"</f>
        <v>20228021206</v>
      </c>
      <c r="E343" s="5" t="str">
        <f t="shared" si="24"/>
        <v>20220307</v>
      </c>
      <c r="F343" s="6">
        <v>98.5</v>
      </c>
      <c r="G343" s="6">
        <v>109.6</v>
      </c>
      <c r="H343" s="6">
        <v>105.16</v>
      </c>
    </row>
    <row r="344" ht="20" customHeight="1" spans="1:8">
      <c r="A344" s="4">
        <v>342</v>
      </c>
      <c r="B344" s="5" t="str">
        <f>"张晴"</f>
        <v>张晴</v>
      </c>
      <c r="C344" s="5"/>
      <c r="D344" s="5" t="str">
        <f>"20228021714"</f>
        <v>20228021714</v>
      </c>
      <c r="E344" s="5" t="str">
        <f t="shared" si="24"/>
        <v>20220307</v>
      </c>
      <c r="F344" s="6">
        <v>100.8</v>
      </c>
      <c r="G344" s="6">
        <v>108</v>
      </c>
      <c r="H344" s="6">
        <v>105.12</v>
      </c>
    </row>
    <row r="345" ht="20" customHeight="1" spans="1:8">
      <c r="A345" s="4">
        <v>343</v>
      </c>
      <c r="B345" s="5" t="str">
        <f>"靳娜"</f>
        <v>靳娜</v>
      </c>
      <c r="C345" s="5"/>
      <c r="D345" s="5" t="str">
        <f>"20228021419"</f>
        <v>20228021419</v>
      </c>
      <c r="E345" s="5" t="str">
        <f t="shared" si="24"/>
        <v>20220307</v>
      </c>
      <c r="F345" s="6">
        <v>103.5</v>
      </c>
      <c r="G345" s="6">
        <v>105.5</v>
      </c>
      <c r="H345" s="6">
        <v>104.7</v>
      </c>
    </row>
    <row r="346" ht="20" customHeight="1" spans="1:8">
      <c r="A346" s="4">
        <v>344</v>
      </c>
      <c r="B346" s="5" t="str">
        <f>"王梦雪"</f>
        <v>王梦雪</v>
      </c>
      <c r="C346" s="5"/>
      <c r="D346" s="5" t="str">
        <f>"20228021820"</f>
        <v>20228021820</v>
      </c>
      <c r="E346" s="5" t="str">
        <f t="shared" si="24"/>
        <v>20220307</v>
      </c>
      <c r="F346" s="6">
        <v>97</v>
      </c>
      <c r="G346" s="6">
        <v>109.7</v>
      </c>
      <c r="H346" s="6">
        <v>104.62</v>
      </c>
    </row>
    <row r="347" ht="20" customHeight="1" spans="1:8">
      <c r="A347" s="4">
        <v>345</v>
      </c>
      <c r="B347" s="5" t="str">
        <f>"董玉云"</f>
        <v>董玉云</v>
      </c>
      <c r="C347" s="5"/>
      <c r="D347" s="5" t="str">
        <f>"20228022225"</f>
        <v>20228022225</v>
      </c>
      <c r="E347" s="5" t="str">
        <f>"20220308"</f>
        <v>20220308</v>
      </c>
      <c r="F347" s="6">
        <v>98.5</v>
      </c>
      <c r="G347" s="6">
        <v>80</v>
      </c>
      <c r="H347" s="6">
        <v>87.4</v>
      </c>
    </row>
    <row r="348" ht="20" customHeight="1" spans="1:8">
      <c r="A348" s="4">
        <v>346</v>
      </c>
      <c r="B348" s="5" t="str">
        <f>"张程"</f>
        <v>张程</v>
      </c>
      <c r="C348" s="5"/>
      <c r="D348" s="5" t="str">
        <f>"20228022203"</f>
        <v>20228022203</v>
      </c>
      <c r="E348" s="5" t="str">
        <f>"20220308"</f>
        <v>20220308</v>
      </c>
      <c r="F348" s="6">
        <v>84.6</v>
      </c>
      <c r="G348" s="6">
        <v>82.9</v>
      </c>
      <c r="H348" s="6">
        <v>83.58</v>
      </c>
    </row>
    <row r="349" ht="20" customHeight="1" spans="1:8">
      <c r="A349" s="4">
        <v>347</v>
      </c>
      <c r="B349" s="5" t="str">
        <f>"金燕"</f>
        <v>金燕</v>
      </c>
      <c r="C349" s="5"/>
      <c r="D349" s="5" t="str">
        <f>"20228022216"</f>
        <v>20228022216</v>
      </c>
      <c r="E349" s="5" t="str">
        <f>"20220308"</f>
        <v>20220308</v>
      </c>
      <c r="F349" s="6">
        <v>88.4</v>
      </c>
      <c r="G349" s="6">
        <v>76.8</v>
      </c>
      <c r="H349" s="6">
        <v>81.44</v>
      </c>
    </row>
    <row r="350" ht="20" customHeight="1" spans="1:8">
      <c r="A350" s="4">
        <v>348</v>
      </c>
      <c r="B350" s="5" t="str">
        <f>"李杨"</f>
        <v>李杨</v>
      </c>
      <c r="C350" s="5"/>
      <c r="D350" s="5" t="str">
        <f>"20228022229"</f>
        <v>20228022229</v>
      </c>
      <c r="E350" s="5" t="str">
        <f>"20220309"</f>
        <v>20220309</v>
      </c>
      <c r="F350" s="6">
        <v>91.9</v>
      </c>
      <c r="G350" s="6">
        <v>93</v>
      </c>
      <c r="H350" s="6">
        <v>92.56</v>
      </c>
    </row>
    <row r="351" ht="20" customHeight="1" spans="1:8">
      <c r="A351" s="4">
        <v>349</v>
      </c>
      <c r="B351" s="5" t="str">
        <f>"董文静"</f>
        <v>董文静</v>
      </c>
      <c r="C351" s="5"/>
      <c r="D351" s="5" t="str">
        <f>"20228022230"</f>
        <v>20228022230</v>
      </c>
      <c r="E351" s="5" t="str">
        <f>"20220309"</f>
        <v>20220309</v>
      </c>
      <c r="F351" s="6">
        <v>90.9</v>
      </c>
      <c r="G351" s="6">
        <v>93.6</v>
      </c>
      <c r="H351" s="6">
        <v>92.52</v>
      </c>
    </row>
    <row r="352" ht="20" customHeight="1" spans="1:8">
      <c r="A352" s="4">
        <v>350</v>
      </c>
      <c r="B352" s="5" t="str">
        <f>"单素素"</f>
        <v>单素素</v>
      </c>
      <c r="C352" s="5"/>
      <c r="D352" s="5" t="str">
        <f>"20228022227"</f>
        <v>20228022227</v>
      </c>
      <c r="E352" s="5" t="str">
        <f>"20220309"</f>
        <v>20220309</v>
      </c>
      <c r="F352" s="6">
        <v>83.3</v>
      </c>
      <c r="G352" s="6">
        <v>98.2</v>
      </c>
      <c r="H352" s="6">
        <v>92.24</v>
      </c>
    </row>
    <row r="353" ht="20" customHeight="1" spans="1:8">
      <c r="A353" s="4">
        <v>351</v>
      </c>
      <c r="B353" s="5" t="str">
        <f>"尹慧"</f>
        <v>尹慧</v>
      </c>
      <c r="C353" s="5"/>
      <c r="D353" s="5" t="str">
        <f>"20228022109"</f>
        <v>20228022109</v>
      </c>
      <c r="E353" s="5" t="str">
        <f t="shared" ref="E353:E373" si="25">"20220310"</f>
        <v>20220310</v>
      </c>
      <c r="F353" s="6">
        <v>99.1</v>
      </c>
      <c r="G353" s="6">
        <v>98.3</v>
      </c>
      <c r="H353" s="6">
        <v>98.62</v>
      </c>
    </row>
    <row r="354" ht="20" customHeight="1" spans="1:8">
      <c r="A354" s="4">
        <v>352</v>
      </c>
      <c r="B354" s="5" t="str">
        <f>"王晓欣"</f>
        <v>王晓欣</v>
      </c>
      <c r="C354" s="5"/>
      <c r="D354" s="5" t="str">
        <f>"20228022118"</f>
        <v>20228022118</v>
      </c>
      <c r="E354" s="5" t="str">
        <f t="shared" si="25"/>
        <v>20220310</v>
      </c>
      <c r="F354" s="6">
        <v>98.5</v>
      </c>
      <c r="G354" s="6">
        <v>94.68</v>
      </c>
      <c r="H354" s="6">
        <v>96.21</v>
      </c>
    </row>
    <row r="355" ht="20" customHeight="1" spans="1:8">
      <c r="A355" s="4">
        <v>353</v>
      </c>
      <c r="B355" s="5" t="str">
        <f>"陈晨"</f>
        <v>陈晨</v>
      </c>
      <c r="C355" s="5"/>
      <c r="D355" s="5" t="str">
        <f>"20228022114"</f>
        <v>20228022114</v>
      </c>
      <c r="E355" s="5" t="str">
        <f t="shared" si="25"/>
        <v>20220310</v>
      </c>
      <c r="F355" s="6">
        <v>96</v>
      </c>
      <c r="G355" s="6">
        <v>93.75</v>
      </c>
      <c r="H355" s="6">
        <v>94.65</v>
      </c>
    </row>
    <row r="356" ht="20" customHeight="1" spans="1:8">
      <c r="A356" s="4">
        <v>354</v>
      </c>
      <c r="B356" s="5" t="str">
        <f>"王芷琪"</f>
        <v>王芷琪</v>
      </c>
      <c r="C356" s="5"/>
      <c r="D356" s="5" t="str">
        <f>"20228022121"</f>
        <v>20228022121</v>
      </c>
      <c r="E356" s="5" t="str">
        <f t="shared" si="25"/>
        <v>20220310</v>
      </c>
      <c r="F356" s="6">
        <v>81.1</v>
      </c>
      <c r="G356" s="6">
        <v>92.62</v>
      </c>
      <c r="H356" s="6">
        <v>88.01</v>
      </c>
    </row>
    <row r="357" ht="20" customHeight="1" spans="1:8">
      <c r="A357" s="4">
        <v>355</v>
      </c>
      <c r="B357" s="5" t="str">
        <f>"高慧杰"</f>
        <v>高慧杰</v>
      </c>
      <c r="C357" s="5"/>
      <c r="D357" s="5" t="str">
        <f>"20228022123"</f>
        <v>20228022123</v>
      </c>
      <c r="E357" s="5" t="str">
        <f t="shared" si="25"/>
        <v>20220310</v>
      </c>
      <c r="F357" s="6">
        <v>83.6</v>
      </c>
      <c r="G357" s="6">
        <v>90.59</v>
      </c>
      <c r="H357" s="6">
        <v>87.79</v>
      </c>
    </row>
    <row r="358" ht="20" customHeight="1" spans="1:8">
      <c r="A358" s="4">
        <v>356</v>
      </c>
      <c r="B358" s="5" t="str">
        <f>"陈姣姣"</f>
        <v>陈姣姣</v>
      </c>
      <c r="C358" s="5"/>
      <c r="D358" s="5" t="str">
        <f>"20228022124"</f>
        <v>20228022124</v>
      </c>
      <c r="E358" s="5" t="str">
        <f t="shared" si="25"/>
        <v>20220310</v>
      </c>
      <c r="F358" s="6">
        <v>83.8</v>
      </c>
      <c r="G358" s="6">
        <v>86.91</v>
      </c>
      <c r="H358" s="6">
        <v>85.67</v>
      </c>
    </row>
    <row r="359" ht="20" customHeight="1" spans="1:8">
      <c r="A359" s="4">
        <v>357</v>
      </c>
      <c r="B359" s="5" t="str">
        <f>"宋旭敏"</f>
        <v>宋旭敏</v>
      </c>
      <c r="C359" s="5"/>
      <c r="D359" s="5" t="str">
        <f>"20228025529"</f>
        <v>20228025529</v>
      </c>
      <c r="E359" s="5" t="str">
        <f>"20220311"</f>
        <v>20220311</v>
      </c>
      <c r="F359" s="6">
        <v>100.7</v>
      </c>
      <c r="G359" s="6">
        <v>103.1</v>
      </c>
      <c r="H359" s="6">
        <v>102.14</v>
      </c>
    </row>
    <row r="360" ht="20" customHeight="1" spans="1:8">
      <c r="A360" s="4">
        <v>358</v>
      </c>
      <c r="B360" s="5" t="str">
        <f>"汝英贺"</f>
        <v>汝英贺</v>
      </c>
      <c r="C360" s="5"/>
      <c r="D360" s="5" t="str">
        <f>"20228025530"</f>
        <v>20228025530</v>
      </c>
      <c r="E360" s="5" t="str">
        <f>"20220311"</f>
        <v>20220311</v>
      </c>
      <c r="F360" s="6">
        <v>94.6</v>
      </c>
      <c r="G360" s="6">
        <v>102.6</v>
      </c>
      <c r="H360" s="6">
        <v>99.4</v>
      </c>
    </row>
    <row r="361" ht="20" customHeight="1" spans="1:8">
      <c r="A361" s="4">
        <v>359</v>
      </c>
      <c r="B361" s="5" t="str">
        <f>"赵雅倩"</f>
        <v>赵雅倩</v>
      </c>
      <c r="C361" s="5"/>
      <c r="D361" s="5" t="str">
        <f>"20228025527"</f>
        <v>20228025527</v>
      </c>
      <c r="E361" s="5" t="str">
        <f>"20220311"</f>
        <v>20220311</v>
      </c>
      <c r="F361" s="6">
        <v>70.9</v>
      </c>
      <c r="G361" s="6">
        <v>94.3</v>
      </c>
      <c r="H361" s="6">
        <v>84.94</v>
      </c>
    </row>
    <row r="362" ht="20" customHeight="1" spans="1:8">
      <c r="A362" s="4">
        <v>360</v>
      </c>
      <c r="B362" s="5" t="str">
        <f>"刘崇新"</f>
        <v>刘崇新</v>
      </c>
      <c r="C362" s="5"/>
      <c r="D362" s="5" t="str">
        <f>"20228022402"</f>
        <v>20228022402</v>
      </c>
      <c r="E362" s="5" t="str">
        <f t="shared" ref="E362:E376" si="26">"20220312"</f>
        <v>20220312</v>
      </c>
      <c r="F362" s="6">
        <v>101.1</v>
      </c>
      <c r="G362" s="6">
        <v>95.76</v>
      </c>
      <c r="H362" s="6">
        <v>97.9</v>
      </c>
    </row>
    <row r="363" ht="20" customHeight="1" spans="1:8">
      <c r="A363" s="4">
        <v>361</v>
      </c>
      <c r="B363" s="5" t="str">
        <f>"李嘉宁"</f>
        <v>李嘉宁</v>
      </c>
      <c r="C363" s="5"/>
      <c r="D363" s="5" t="str">
        <f>"20228022306"</f>
        <v>20228022306</v>
      </c>
      <c r="E363" s="5" t="str">
        <f t="shared" si="26"/>
        <v>20220312</v>
      </c>
      <c r="F363" s="6">
        <v>100.6</v>
      </c>
      <c r="G363" s="6">
        <v>94.82</v>
      </c>
      <c r="H363" s="6">
        <v>97.13</v>
      </c>
    </row>
    <row r="364" ht="20" customHeight="1" spans="1:8">
      <c r="A364" s="4">
        <v>362</v>
      </c>
      <c r="B364" s="5" t="str">
        <f>"郭晓敏"</f>
        <v>郭晓敏</v>
      </c>
      <c r="C364" s="5"/>
      <c r="D364" s="5" t="str">
        <f>"20228022317"</f>
        <v>20228022317</v>
      </c>
      <c r="E364" s="5" t="str">
        <f t="shared" si="26"/>
        <v>20220312</v>
      </c>
      <c r="F364" s="6">
        <v>96</v>
      </c>
      <c r="G364" s="6">
        <v>92.6</v>
      </c>
      <c r="H364" s="6">
        <v>93.96</v>
      </c>
    </row>
    <row r="365" ht="20" customHeight="1" spans="1:8">
      <c r="A365" s="4">
        <v>363</v>
      </c>
      <c r="B365" s="5" t="str">
        <f>"田园园"</f>
        <v>田园园</v>
      </c>
      <c r="C365" s="5"/>
      <c r="D365" s="5" t="str">
        <f>"20228022313"</f>
        <v>20228022313</v>
      </c>
      <c r="E365" s="5" t="str">
        <f t="shared" si="26"/>
        <v>20220312</v>
      </c>
      <c r="F365" s="6">
        <v>90</v>
      </c>
      <c r="G365" s="6">
        <v>94.11</v>
      </c>
      <c r="H365" s="6">
        <v>92.47</v>
      </c>
    </row>
    <row r="366" ht="20" customHeight="1" spans="1:8">
      <c r="A366" s="4">
        <v>364</v>
      </c>
      <c r="B366" s="5" t="str">
        <f>"石微"</f>
        <v>石微</v>
      </c>
      <c r="C366" s="5"/>
      <c r="D366" s="5" t="str">
        <f>"20228022428"</f>
        <v>20228022428</v>
      </c>
      <c r="E366" s="5" t="str">
        <f t="shared" si="26"/>
        <v>20220312</v>
      </c>
      <c r="F366" s="6">
        <v>88.7</v>
      </c>
      <c r="G366" s="6">
        <v>93.48</v>
      </c>
      <c r="H366" s="6">
        <v>91.57</v>
      </c>
    </row>
    <row r="367" ht="20" customHeight="1" spans="1:8">
      <c r="A367" s="4">
        <v>365</v>
      </c>
      <c r="B367" s="5" t="str">
        <f>"管桐"</f>
        <v>管桐</v>
      </c>
      <c r="C367" s="5"/>
      <c r="D367" s="5" t="str">
        <f>"20228022328"</f>
        <v>20228022328</v>
      </c>
      <c r="E367" s="5" t="str">
        <f t="shared" si="26"/>
        <v>20220312</v>
      </c>
      <c r="F367" s="6">
        <v>99.6</v>
      </c>
      <c r="G367" s="6">
        <v>85.68</v>
      </c>
      <c r="H367" s="6">
        <v>91.25</v>
      </c>
    </row>
    <row r="368" ht="20" customHeight="1" spans="1:8">
      <c r="A368" s="4">
        <v>366</v>
      </c>
      <c r="B368" s="5" t="str">
        <f>"郭奥雨"</f>
        <v>郭奥雨</v>
      </c>
      <c r="C368" s="5"/>
      <c r="D368" s="5" t="str">
        <f>"20228022409"</f>
        <v>20228022409</v>
      </c>
      <c r="E368" s="5" t="str">
        <f t="shared" si="26"/>
        <v>20220312</v>
      </c>
      <c r="F368" s="6">
        <v>88.1</v>
      </c>
      <c r="G368" s="6">
        <v>93.17</v>
      </c>
      <c r="H368" s="6">
        <v>91.14</v>
      </c>
    </row>
    <row r="369" ht="20" customHeight="1" spans="1:8">
      <c r="A369" s="4">
        <v>367</v>
      </c>
      <c r="B369" s="5" t="str">
        <f>"储贻方"</f>
        <v>储贻方</v>
      </c>
      <c r="C369" s="5"/>
      <c r="D369" s="5" t="str">
        <f>"20228022307"</f>
        <v>20228022307</v>
      </c>
      <c r="E369" s="5" t="str">
        <f t="shared" si="26"/>
        <v>20220312</v>
      </c>
      <c r="F369" s="6">
        <v>89.2</v>
      </c>
      <c r="G369" s="6">
        <v>92.26</v>
      </c>
      <c r="H369" s="6">
        <v>91.04</v>
      </c>
    </row>
    <row r="370" ht="20" customHeight="1" spans="1:8">
      <c r="A370" s="4">
        <v>368</v>
      </c>
      <c r="B370" s="5" t="str">
        <f>"李云"</f>
        <v>李云</v>
      </c>
      <c r="C370" s="5"/>
      <c r="D370" s="5" t="str">
        <f>"20228022310"</f>
        <v>20228022310</v>
      </c>
      <c r="E370" s="5" t="str">
        <f t="shared" si="26"/>
        <v>20220312</v>
      </c>
      <c r="F370" s="6">
        <v>93</v>
      </c>
      <c r="G370" s="6">
        <v>89.73</v>
      </c>
      <c r="H370" s="6">
        <v>91.04</v>
      </c>
    </row>
    <row r="371" ht="20" customHeight="1" spans="1:8">
      <c r="A371" s="4">
        <v>369</v>
      </c>
      <c r="B371" s="5" t="str">
        <f>"李婷婷"</f>
        <v>李婷婷</v>
      </c>
      <c r="C371" s="5"/>
      <c r="D371" s="5" t="str">
        <f>"20228022315"</f>
        <v>20228022315</v>
      </c>
      <c r="E371" s="5" t="str">
        <f t="shared" si="26"/>
        <v>20220312</v>
      </c>
      <c r="F371" s="6">
        <v>89.7</v>
      </c>
      <c r="G371" s="6">
        <v>90.96</v>
      </c>
      <c r="H371" s="6">
        <v>90.46</v>
      </c>
    </row>
    <row r="372" ht="20" customHeight="1" spans="1:8">
      <c r="A372" s="4">
        <v>370</v>
      </c>
      <c r="B372" s="5" t="str">
        <f>"闫赫俊"</f>
        <v>闫赫俊</v>
      </c>
      <c r="C372" s="5"/>
      <c r="D372" s="5" t="str">
        <f>"20228022417"</f>
        <v>20228022417</v>
      </c>
      <c r="E372" s="5" t="str">
        <f t="shared" si="26"/>
        <v>20220312</v>
      </c>
      <c r="F372" s="6">
        <v>80.4</v>
      </c>
      <c r="G372" s="6">
        <v>96.02</v>
      </c>
      <c r="H372" s="6">
        <v>89.77</v>
      </c>
    </row>
    <row r="373" ht="20" customHeight="1" spans="1:8">
      <c r="A373" s="4">
        <v>371</v>
      </c>
      <c r="B373" s="5" t="str">
        <f>"朱二鹏"</f>
        <v>朱二鹏</v>
      </c>
      <c r="C373" s="5"/>
      <c r="D373" s="5" t="str">
        <f>"20228022423"</f>
        <v>20228022423</v>
      </c>
      <c r="E373" s="5" t="str">
        <f t="shared" si="26"/>
        <v>20220312</v>
      </c>
      <c r="F373" s="6">
        <v>93.7</v>
      </c>
      <c r="G373" s="6">
        <v>85.8</v>
      </c>
      <c r="H373" s="6">
        <v>88.96</v>
      </c>
    </row>
    <row r="374" ht="20" customHeight="1" spans="1:8">
      <c r="A374" s="4">
        <v>372</v>
      </c>
      <c r="B374" s="5" t="str">
        <f>"李浩然"</f>
        <v>李浩然</v>
      </c>
      <c r="C374" s="5"/>
      <c r="D374" s="5" t="str">
        <f>"20228022314"</f>
        <v>20228022314</v>
      </c>
      <c r="E374" s="5" t="str">
        <f t="shared" si="26"/>
        <v>20220312</v>
      </c>
      <c r="F374" s="6">
        <v>86.4</v>
      </c>
      <c r="G374" s="6">
        <v>90.49</v>
      </c>
      <c r="H374" s="6">
        <v>88.85</v>
      </c>
    </row>
    <row r="375" ht="20" customHeight="1" spans="1:8">
      <c r="A375" s="4">
        <v>373</v>
      </c>
      <c r="B375" s="5" t="str">
        <f>"周洁"</f>
        <v>周洁</v>
      </c>
      <c r="C375" s="5"/>
      <c r="D375" s="5" t="str">
        <f>"20228022305"</f>
        <v>20228022305</v>
      </c>
      <c r="E375" s="5" t="str">
        <f t="shared" si="26"/>
        <v>20220312</v>
      </c>
      <c r="F375" s="6">
        <v>82.8</v>
      </c>
      <c r="G375" s="6">
        <v>92.68</v>
      </c>
      <c r="H375" s="6">
        <v>88.73</v>
      </c>
    </row>
    <row r="376" ht="20" customHeight="1" spans="1:8">
      <c r="A376" s="4">
        <v>374</v>
      </c>
      <c r="B376" s="5" t="str">
        <f>"尹苗苗"</f>
        <v>尹苗苗</v>
      </c>
      <c r="C376" s="5"/>
      <c r="D376" s="5" t="str">
        <f>"20228022303"</f>
        <v>20228022303</v>
      </c>
      <c r="E376" s="5" t="str">
        <f t="shared" si="26"/>
        <v>20220312</v>
      </c>
      <c r="F376" s="6">
        <v>88.3</v>
      </c>
      <c r="G376" s="6">
        <v>86.55</v>
      </c>
      <c r="H376" s="6">
        <v>87.25</v>
      </c>
    </row>
  </sheetData>
  <autoFilter ref="B2:H376">
    <extLst/>
  </autoFilter>
  <sortState ref="B4:H3653">
    <sortCondition ref="E4:E3653"/>
    <sortCondition ref="H4:H3653" descending="1"/>
  </sortState>
  <mergeCells count="1">
    <mergeCell ref="A1:H1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2022-08-28T08:12:00Z</dcterms:created>
  <dcterms:modified xsi:type="dcterms:W3CDTF">2022-08-28T10:28:56Z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A774CAAD2D924D92A386E55DEFF00681</vt:lpwstr>
  </property>
  <property fmtid="{D5CDD505-2E9C-101B-9397-08002B2CF9AE}" pid="3" name="KSOProductBuildVer">
    <vt:lpwstr>2052-11.1.0.12313</vt:lpwstr>
  </property>
</Properties>
</file>